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0" windowWidth="15120" windowHeight="7500" tabRatio="245"/>
  </bookViews>
  <sheets>
    <sheet name="BELANJA LANGSUNG" sheetId="3" r:id="rId1"/>
    <sheet name="DAK" sheetId="4" r:id="rId2"/>
    <sheet name="POBL 2018" sheetId="5" r:id="rId3"/>
  </sheets>
  <definedNames>
    <definedName name="_xlnm.Print_Titles" localSheetId="0">'BELANJA LANGSUNG'!$7:$9</definedName>
    <definedName name="_xlnm.Print_Titles" localSheetId="2">'POBL 2018'!$5:$8</definedName>
  </definedNames>
  <calcPr calcId="144525"/>
</workbook>
</file>

<file path=xl/calcChain.xml><?xml version="1.0" encoding="utf-8"?>
<calcChain xmlns="http://schemas.openxmlformats.org/spreadsheetml/2006/main">
  <c r="K20" i="3" l="1"/>
  <c r="J12" i="3"/>
  <c r="I105" i="5" l="1"/>
  <c r="J105" i="5" s="1"/>
  <c r="J102" i="5"/>
  <c r="H101" i="5"/>
  <c r="G101" i="5"/>
  <c r="I99" i="5"/>
  <c r="J99" i="5" s="1"/>
  <c r="J98" i="5"/>
  <c r="J96" i="5"/>
  <c r="H95" i="5"/>
  <c r="G95" i="5"/>
  <c r="J94" i="5"/>
  <c r="I93" i="5"/>
  <c r="H93" i="5"/>
  <c r="G93" i="5"/>
  <c r="J92" i="5"/>
  <c r="O91" i="5"/>
  <c r="I91" i="5"/>
  <c r="J91" i="5" s="1"/>
  <c r="J90" i="5"/>
  <c r="J89" i="5"/>
  <c r="J87" i="5"/>
  <c r="H86" i="5"/>
  <c r="G86" i="5"/>
  <c r="J85" i="5"/>
  <c r="I84" i="5"/>
  <c r="J84" i="5" s="1"/>
  <c r="H83" i="5"/>
  <c r="G83" i="5"/>
  <c r="J76" i="5"/>
  <c r="I71" i="5"/>
  <c r="J71" i="5" s="1"/>
  <c r="I69" i="5"/>
  <c r="J69" i="5" s="1"/>
  <c r="I66" i="5"/>
  <c r="J66" i="5" s="1"/>
  <c r="I63" i="5"/>
  <c r="J63" i="5" s="1"/>
  <c r="I62" i="5"/>
  <c r="J62" i="5" s="1"/>
  <c r="H61" i="5"/>
  <c r="G61" i="5"/>
  <c r="I60" i="5"/>
  <c r="J60" i="5" s="1"/>
  <c r="I59" i="5"/>
  <c r="J59" i="5" s="1"/>
  <c r="J58" i="5"/>
  <c r="I57" i="5"/>
  <c r="J57" i="5" s="1"/>
  <c r="J56" i="5"/>
  <c r="H55" i="5"/>
  <c r="G55" i="5"/>
  <c r="I54" i="5"/>
  <c r="J54" i="5" s="1"/>
  <c r="J53" i="5"/>
  <c r="J52" i="5"/>
  <c r="J51" i="5"/>
  <c r="J50" i="5"/>
  <c r="I49" i="5"/>
  <c r="J49" i="5" s="1"/>
  <c r="J48" i="5"/>
  <c r="J47" i="5"/>
  <c r="O46" i="5"/>
  <c r="I46" i="5"/>
  <c r="J46" i="5" s="1"/>
  <c r="I45" i="5"/>
  <c r="J45" i="5" s="1"/>
  <c r="I44" i="5"/>
  <c r="J44" i="5" s="1"/>
  <c r="J43" i="5"/>
  <c r="I42" i="5"/>
  <c r="J42" i="5" s="1"/>
  <c r="J41" i="5"/>
  <c r="I40" i="5"/>
  <c r="J40" i="5" s="1"/>
  <c r="J39" i="5"/>
  <c r="I35" i="5"/>
  <c r="J35" i="5" s="1"/>
  <c r="I32" i="5"/>
  <c r="J32" i="5" s="1"/>
  <c r="J30" i="5"/>
  <c r="I29" i="5"/>
  <c r="J29" i="5" s="1"/>
  <c r="I28" i="5"/>
  <c r="J28" i="5" s="1"/>
  <c r="I27" i="5"/>
  <c r="J27" i="5" s="1"/>
  <c r="I26" i="5"/>
  <c r="J26" i="5" s="1"/>
  <c r="J25" i="5"/>
  <c r="J23" i="5"/>
  <c r="J22" i="5"/>
  <c r="J21" i="5"/>
  <c r="I19" i="5"/>
  <c r="J19" i="5" s="1"/>
  <c r="I18" i="5"/>
  <c r="J18" i="5" s="1"/>
  <c r="I17" i="5"/>
  <c r="J17" i="5" s="1"/>
  <c r="I16" i="5"/>
  <c r="J16" i="5" s="1"/>
  <c r="J15" i="5"/>
  <c r="J11" i="5"/>
  <c r="H10" i="5"/>
  <c r="G10" i="5"/>
  <c r="G9" i="5" s="1"/>
  <c r="I61" i="5" l="1"/>
  <c r="I83" i="5"/>
  <c r="J83" i="5" s="1"/>
  <c r="H9" i="5"/>
  <c r="I10" i="5"/>
  <c r="J10" i="5" s="1"/>
  <c r="J61" i="5"/>
  <c r="J93" i="5"/>
  <c r="I95" i="5"/>
  <c r="J95" i="5" s="1"/>
  <c r="I55" i="5"/>
  <c r="I86" i="5"/>
  <c r="J86" i="5" s="1"/>
  <c r="I101" i="5"/>
  <c r="J101" i="5" s="1"/>
  <c r="J55" i="5" l="1"/>
  <c r="I9" i="5"/>
  <c r="J9" i="5" s="1"/>
  <c r="J54" i="3" l="1"/>
  <c r="K38" i="3"/>
  <c r="K48" i="3"/>
  <c r="J52" i="3"/>
  <c r="J51" i="3"/>
  <c r="J50" i="3"/>
  <c r="L21" i="3" l="1"/>
  <c r="K21" i="3"/>
  <c r="L27" i="3"/>
  <c r="J27" i="3"/>
  <c r="L14" i="3" l="1"/>
  <c r="K51" i="3"/>
  <c r="J26" i="3" l="1"/>
  <c r="K24" i="3"/>
  <c r="K14" i="3"/>
  <c r="K17" i="3" l="1"/>
  <c r="K15" i="3"/>
  <c r="K40" i="3"/>
  <c r="G53" i="3" l="1"/>
  <c r="G49" i="3"/>
  <c r="G44" i="3"/>
  <c r="G12" i="3"/>
  <c r="G22" i="3"/>
  <c r="G31" i="3"/>
  <c r="G33" i="3"/>
  <c r="G41" i="3"/>
  <c r="G42" i="3"/>
  <c r="G35" i="3" s="1"/>
  <c r="J47" i="3"/>
  <c r="K47" i="3" s="1"/>
  <c r="J41" i="3"/>
  <c r="K41" i="3" s="1"/>
  <c r="J28" i="3"/>
  <c r="K28" i="3" s="1"/>
  <c r="K54" i="3"/>
  <c r="K52" i="3"/>
  <c r="G55" i="3" l="1"/>
  <c r="J53" i="3"/>
  <c r="J49" i="3"/>
  <c r="J44" i="3"/>
  <c r="J35" i="3"/>
  <c r="J33" i="3"/>
  <c r="J31" i="3"/>
  <c r="J22" i="3"/>
  <c r="K27" i="3"/>
  <c r="K50" i="3"/>
  <c r="K32" i="3"/>
  <c r="K26" i="3"/>
  <c r="J55" i="3" l="1"/>
  <c r="C12" i="3"/>
  <c r="C22" i="3"/>
  <c r="K22" i="3" s="1"/>
  <c r="C53" i="3"/>
  <c r="K53" i="3" s="1"/>
  <c r="C49" i="3"/>
  <c r="K49" i="3" s="1"/>
  <c r="C44" i="3"/>
  <c r="K44" i="3" s="1"/>
  <c r="C35" i="3"/>
  <c r="K35" i="3" s="1"/>
  <c r="C33" i="3"/>
  <c r="C31" i="3"/>
  <c r="K31" i="3" s="1"/>
  <c r="C55" i="3" l="1"/>
  <c r="K12" i="3"/>
  <c r="K55" i="3"/>
  <c r="C11" i="3"/>
</calcChain>
</file>

<file path=xl/sharedStrings.xml><?xml version="1.0" encoding="utf-8"?>
<sst xmlns="http://schemas.openxmlformats.org/spreadsheetml/2006/main" count="655" uniqueCount="435">
  <si>
    <t>Program Peningkatan Kualitas dan Produktivitas Tenaga Kerja</t>
  </si>
  <si>
    <t>Program Peningkatan Kesempatan Kerja</t>
  </si>
  <si>
    <t>Program Perlindungan dan Pengembangan Lembaga Ketenagakerjaan</t>
  </si>
  <si>
    <t>Program Peningkatan Kapasitas Iptek Sistem Produksi</t>
  </si>
  <si>
    <t>Program Pengembangan Industri Kecil dan Menengah</t>
  </si>
  <si>
    <t>Program Pengembangan Sentra-Sentra Industri Potensial</t>
  </si>
  <si>
    <t>Program Pengembangan Wilayah Transmigrasi</t>
  </si>
  <si>
    <t>Pengadaan Peralatan Pendidikan dan Keterampilan Bagi Pencari Kerja</t>
  </si>
  <si>
    <t>Pemeliharaan Rutin/ Berkala Sarana dan Prasarana BLK</t>
  </si>
  <si>
    <t>Rehabilitasi Sedang/ Berat Sarana dan Prasarana BLK</t>
  </si>
  <si>
    <t>Peningkatan Kapasitas Instruktur dan Tenaga Kepelatihan</t>
  </si>
  <si>
    <t>Fasilitasi Penempatan Tenaga Kerja (DBHCHT)</t>
  </si>
  <si>
    <t>Pengembangan Pelayanan Informasi Pasar Kerja</t>
  </si>
  <si>
    <t>Pengembangan Pelayanan Penempatan dan perlindungan Tenaga Kerja</t>
  </si>
  <si>
    <t>Monitoring dan Evaluasi Penempatan Transmigrasi</t>
  </si>
  <si>
    <t>Pengembangan Kompetensi Wirausaha  Melalui Inkubasi Bisnis</t>
  </si>
  <si>
    <t>Pembinaan Industri Kecil dan Menengah dalam memperkuat jaringan Klaster Industri</t>
  </si>
  <si>
    <t>Fasilitasi kerja Sama Kemitraanan Industri Mikro, Kecil dan Menengah dengan Swasta</t>
  </si>
  <si>
    <t>Kajian dan Pengembangan Produk Hasil Pertanian</t>
  </si>
  <si>
    <t>Penguatan kemampuan industri berbasis teknologi</t>
  </si>
  <si>
    <t>Peningkatan Mutu Produk UMKM dengan Pengembangan Desain dan Fasilitasi Sertifikat Produk</t>
  </si>
  <si>
    <t>Peningkatan Nilai Tambah Produksi Melalui Diversifikasi dan Intensifkasi</t>
  </si>
  <si>
    <t>Penyusunan kebijakan industri terkait dan industri penunjang industri kecil dan menengah</t>
  </si>
  <si>
    <t>Fasilitasi Teknisi Industri Teknologi Multi Media dan Informasi</t>
  </si>
  <si>
    <t>Pendidikan dan Pelatihan Keterampilan Bagi Pencari Kerja</t>
  </si>
  <si>
    <t>Pelatihan Kerajinan Tangan (Handycraft) Bagi Wanita Rawan Sosial ekonomi</t>
  </si>
  <si>
    <t>Pelatihan Peningkatan Keterampilan Bagi Angkatan Kerja Muda dan Wanita</t>
  </si>
  <si>
    <t>Pelatihan Keterampilan Las</t>
  </si>
  <si>
    <t>Pelatihan  Kewirausahaan Desa bagi Pemuda dan Perempuan</t>
  </si>
  <si>
    <t xml:space="preserve">Pelatihan Wirausaha Masyarakat  Miskin </t>
  </si>
  <si>
    <t>Penyiapan Tenaga Kerja Siap Pakai</t>
  </si>
  <si>
    <t>Program Pengembangan Hubungan Industrial dan Peningkatan Jaminan Sosial Tenaga Kerja</t>
  </si>
  <si>
    <t>Fasilitasi penyelesaian prosedur pemberian perlindungan hukum dan jaminan sosial ketenagakerjaan</t>
  </si>
  <si>
    <t>Fasilitasi Kegiatan Dewan Pengupahan Kabupaten</t>
  </si>
  <si>
    <t>Peningkatan lembagaketenagakerjaan LKS Bipartit, Tripartit dan Serikat Pekerja</t>
  </si>
  <si>
    <t>Fasilitasi Penyelesaian Prosedur Penyelesaian Perselisihan Hubungan Industrial</t>
  </si>
  <si>
    <t>Fasilitasi bagi Industri Kecil dan Menengah Terhadap Pemanfaatan Sumber Daya</t>
  </si>
  <si>
    <t>Pelatihan Pengelolaan Sumber Daya Lokal bagi IKM</t>
  </si>
  <si>
    <t>Fasilitasi Industri Las Bagi IKM</t>
  </si>
  <si>
    <t>Peningkatan dan Pengembangan Industri Kecil Batik</t>
  </si>
  <si>
    <t>Revitalisasi Sentra IKM</t>
  </si>
  <si>
    <t>No.</t>
  </si>
  <si>
    <t>JENIS PEKERJAAN</t>
  </si>
  <si>
    <t>ANGGARAN (Rp.)</t>
  </si>
  <si>
    <t>REKANAN</t>
  </si>
  <si>
    <t>MULAI</t>
  </si>
  <si>
    <t>SELESAI</t>
  </si>
  <si>
    <t>JANGKA WAKTU</t>
  </si>
  <si>
    <t>REALISASI KEUANGAN</t>
  </si>
  <si>
    <t>%</t>
  </si>
  <si>
    <t>REALISASI FISIK</t>
  </si>
  <si>
    <t>SP2D</t>
  </si>
  <si>
    <t>JUMLAH (Rp.)</t>
  </si>
  <si>
    <t>BAST II (PHO)</t>
  </si>
  <si>
    <t>BAST I (PHO)</t>
  </si>
  <si>
    <t>KETERANGAN</t>
  </si>
  <si>
    <t>No./ TGL KONTRAK</t>
  </si>
  <si>
    <t>NILAI KONTRAK</t>
  </si>
  <si>
    <t>TGL</t>
  </si>
  <si>
    <t>PENETAPAN APBD 2019</t>
  </si>
  <si>
    <t>APBD PERUBAHAN 2019</t>
  </si>
  <si>
    <t>REKAPITULASI PERKEMBANGAN KEGIATAN BELANJA LANGSUNG</t>
  </si>
  <si>
    <t>TAHUN ANGGARAN 2019</t>
  </si>
  <si>
    <t>NAMA OPD</t>
  </si>
  <si>
    <t>BULAN</t>
  </si>
  <si>
    <t>:  DINAS TENAGA KERJA, PERINDUSTRIAN DAN TRANSMIGRASI</t>
  </si>
  <si>
    <t>SUB BIDANG/ KEGIATAN</t>
  </si>
  <si>
    <t>PERENCANAAN KEGIATAN</t>
  </si>
  <si>
    <t>VOLUME</t>
  </si>
  <si>
    <t>SATUAN</t>
  </si>
  <si>
    <t>JUMLAH PENERIMA MANFAAT</t>
  </si>
  <si>
    <t>PAGU DAK FISIK</t>
  </si>
  <si>
    <t>(Rp. Dalam Ribuan)</t>
  </si>
  <si>
    <t>MEKANISME PELAKSANAAN</t>
  </si>
  <si>
    <t>KONTRAKTUAL</t>
  </si>
  <si>
    <t>SWAKELOLA</t>
  </si>
  <si>
    <t>KEUANGAN</t>
  </si>
  <si>
    <t>FISIK</t>
  </si>
  <si>
    <t>REALISASI</t>
  </si>
  <si>
    <t>KODEFIKASI/ KETERANGAN/ PERMASALAHAN</t>
  </si>
  <si>
    <t>LAPORAN KEMAJUAN PELAKSANAAN KEGIATAN</t>
  </si>
  <si>
    <t>DANA ALOKASI KHUSUS</t>
  </si>
  <si>
    <t>PROVINSI</t>
  </si>
  <si>
    <t>KABUPATEN</t>
  </si>
  <si>
    <t>OPD</t>
  </si>
  <si>
    <t>TRIWULAN</t>
  </si>
  <si>
    <t>:  JAWA TENGAH</t>
  </si>
  <si>
    <t>:  WONOSOBO</t>
  </si>
  <si>
    <t>TOTAL</t>
  </si>
  <si>
    <t>KEPALA DINAS</t>
  </si>
  <si>
    <t>TENAGA KERJA, PERINDUSTRIAN DAN TRANSMIGRASI</t>
  </si>
  <si>
    <t>KABUPATEN WONOSOBO</t>
  </si>
  <si>
    <t>Ir. AGUS PRIYATNO, M.Pd</t>
  </si>
  <si>
    <t>Pembina Utama Muda</t>
  </si>
  <si>
    <t>NIP. 196307281992031010</t>
  </si>
  <si>
    <t>I</t>
  </si>
  <si>
    <t>II</t>
  </si>
  <si>
    <t>III</t>
  </si>
  <si>
    <t>IV</t>
  </si>
  <si>
    <t>V</t>
  </si>
  <si>
    <t>VI</t>
  </si>
  <si>
    <t>VII</t>
  </si>
  <si>
    <t>VIII</t>
  </si>
  <si>
    <t>Pelatihan Ketrampilan dan Kewirausahaan bagi warga miskin dan pekerja rentan non skill</t>
  </si>
  <si>
    <t xml:space="preserve">CV. PRIMA JAYA                         </t>
  </si>
  <si>
    <t>UD. PRIMA RASA</t>
  </si>
  <si>
    <t>050/11/2019  Tanggal 8 Maret 2019</t>
  </si>
  <si>
    <t>050/09/2019 Tanggal 8 Maret 2019</t>
  </si>
  <si>
    <t>27 Maret 2019</t>
  </si>
  <si>
    <t>8 Maret 2019</t>
  </si>
  <si>
    <t>050/13/2019 Tanggal 18 Maret 2019</t>
  </si>
  <si>
    <t>18 Maret 2019</t>
  </si>
  <si>
    <t>6 April 2019</t>
  </si>
  <si>
    <t>050/15/2019 Tanggal 18 Maret 2019</t>
  </si>
  <si>
    <t>16 April 2019</t>
  </si>
  <si>
    <t>UD PRIMA RASA</t>
  </si>
  <si>
    <t>CV PRIMA JAYA</t>
  </si>
  <si>
    <t>CV EL GIRAYYA</t>
  </si>
  <si>
    <t>050/534/2019 Tanggal 6 Mei 2019</t>
  </si>
  <si>
    <t>25 Mei 2019</t>
  </si>
  <si>
    <t>6 Mei 2019</t>
  </si>
  <si>
    <t>:  JULI</t>
  </si>
  <si>
    <t>Wonosobo,           Agustus 2019</t>
  </si>
  <si>
    <t>LAPORAN PENGENDALIAN OPERASIONAL BELANJA LANGSUNG</t>
  </si>
  <si>
    <t>APBD KABUPATEN WONOSOBO TAHUN 2018</t>
  </si>
  <si>
    <t>DINAS TENAGA KERJA, PERINDUSTRIAN DAN TRANSMIGRASI</t>
  </si>
  <si>
    <t>BULAN DESEMBER 2018</t>
  </si>
  <si>
    <t>NO</t>
  </si>
  <si>
    <t>PROGRAM /KEGIATAN</t>
  </si>
  <si>
    <t>TOLOK UKUR KINERJA</t>
  </si>
  <si>
    <t>LOKASI</t>
  </si>
  <si>
    <t>JUMLAH KEGIATAN</t>
  </si>
  <si>
    <t>ANGGARAN (Rp)</t>
  </si>
  <si>
    <t>PELAKSANAAN KEGIATAN</t>
  </si>
  <si>
    <t>PENGADAAN BARANG / JASA</t>
  </si>
  <si>
    <t>Ket</t>
  </si>
  <si>
    <t>OUTPUT</t>
  </si>
  <si>
    <t>TARGET</t>
  </si>
  <si>
    <t>Peyerapan Anggaran</t>
  </si>
  <si>
    <t>Realisasi Keuangan (%)</t>
  </si>
  <si>
    <t>Realisasi Fisik (%)</t>
  </si>
  <si>
    <t>METODE</t>
  </si>
  <si>
    <t>KONTRAK</t>
  </si>
  <si>
    <t>Nama Penyedia</t>
  </si>
  <si>
    <t>Sebelum Perubahan</t>
  </si>
  <si>
    <t>Setelah Perubahan</t>
  </si>
  <si>
    <t>Tanggal Mulai</t>
  </si>
  <si>
    <t>Tanggal Selesai</t>
  </si>
  <si>
    <t>Nilai</t>
  </si>
  <si>
    <t>DINAS TENAGA KERJA PERINDUSTRIAN DAN TRANSMIGRASI</t>
  </si>
  <si>
    <t>A</t>
  </si>
  <si>
    <t>Pengadaan peralatan pendidikan dan ketrampilan bagi pencari kerja</t>
  </si>
  <si>
    <t>Pengadaan Peralatan Pelatihan Kejuruan Otomotif, Elektronika, Menjahit, dan Pertanian</t>
  </si>
  <si>
    <t>1 Unit</t>
  </si>
  <si>
    <t>Kab. Wonosobo</t>
  </si>
  <si>
    <t>1 kegiatan</t>
  </si>
  <si>
    <t>Pengadaan Langsung</t>
  </si>
  <si>
    <t>03 Desember 2018</t>
  </si>
  <si>
    <t>10 November 2018</t>
  </si>
  <si>
    <t>CV. Ardhian Karya</t>
  </si>
  <si>
    <t>Revitalisasi BLK</t>
  </si>
  <si>
    <t>Pembangunan gedung workshop</t>
  </si>
  <si>
    <t>1 unit</t>
  </si>
  <si>
    <t>BLK Kab. Wonosobo</t>
  </si>
  <si>
    <t>26 September 2018</t>
  </si>
  <si>
    <t>CV. Bangun Jaya</t>
  </si>
  <si>
    <t>Pelatihan ketrampilan dan kewirausahaan bagi warga miskin dan pekerja rentan non skill</t>
  </si>
  <si>
    <t>Pelatihan ketrampilan dan kewirausahaan</t>
  </si>
  <si>
    <t>60 orang</t>
  </si>
  <si>
    <t>Desa Candiyasan, Purwojiwo, Pulosaren</t>
  </si>
  <si>
    <t>10 Oktober 2018</t>
  </si>
  <si>
    <t>CV. Prima Jaya</t>
  </si>
  <si>
    <t>Skill Comptetition</t>
  </si>
  <si>
    <t>Skill Competition</t>
  </si>
  <si>
    <t>3 Kejuruan</t>
  </si>
  <si>
    <t>1 Kegiatan</t>
  </si>
  <si>
    <t>Pendampingan pelatihan ketrampilan dan kewirausahaan bagi eks buruh migran dan keluarga</t>
  </si>
  <si>
    <t>Pelatihan Wirausaha</t>
  </si>
  <si>
    <t>40 orang</t>
  </si>
  <si>
    <t>Pendidikan dan pelatihan ketrampilan bagi pencari kerja berbasis kompetensi</t>
  </si>
  <si>
    <t>Pelatihan ketrampilan menjahit</t>
  </si>
  <si>
    <t>1 Kejuruan</t>
  </si>
  <si>
    <t>2 Kegiatan</t>
  </si>
  <si>
    <t>Uji Kompetensi</t>
  </si>
  <si>
    <t>2 Kejuruan</t>
  </si>
  <si>
    <t>Pembinaan lembaga pelatihan kerja swasta</t>
  </si>
  <si>
    <t>Pelatihan persiapan Akreditasi</t>
  </si>
  <si>
    <t>16 LPKS</t>
  </si>
  <si>
    <t>Penyusunan Raperda pelatihan kerja</t>
  </si>
  <si>
    <t>Penyempurnaan Raperda</t>
  </si>
  <si>
    <t>Dokumen</t>
  </si>
  <si>
    <t>Penataan BLK dan pemindahan kantor dinas Naker</t>
  </si>
  <si>
    <t>pemindahan kantor dinas</t>
  </si>
  <si>
    <t>pemindahan kantor</t>
  </si>
  <si>
    <t>12 November 2018</t>
  </si>
  <si>
    <t>27 Desember 2018</t>
  </si>
  <si>
    <t>CV. Doni Wijaya Pratama</t>
  </si>
  <si>
    <t>operasional penataan BLK</t>
  </si>
  <si>
    <t>tetatanya lingkungan BLK</t>
  </si>
  <si>
    <t>Pelatihan Perbengkelan</t>
  </si>
  <si>
    <t>Pelatihan perbengkelan</t>
  </si>
  <si>
    <t>16 orang</t>
  </si>
  <si>
    <t>Kelurahan Kaliwiro (Kaliwiro)</t>
  </si>
  <si>
    <t>20 April 2018</t>
  </si>
  <si>
    <t>26 April 2018</t>
  </si>
  <si>
    <t>Pelatihan Tata Boga</t>
  </si>
  <si>
    <t>32 orang</t>
  </si>
  <si>
    <t>Kecamatan Kaliwiro dan Kelurahan Kalibeber (Mojotengah)</t>
  </si>
  <si>
    <t>6 Desember 2018</t>
  </si>
  <si>
    <t>16 Desember 2018</t>
  </si>
  <si>
    <t>CV. Sumber Berkah</t>
  </si>
  <si>
    <t>Pelatihan Sablon</t>
  </si>
  <si>
    <t>20 orang</t>
  </si>
  <si>
    <t>Desa Bumirejo (Mojotengah)</t>
  </si>
  <si>
    <t>7 Juni 2018</t>
  </si>
  <si>
    <t>27 Juni 2018</t>
  </si>
  <si>
    <t>Pelatihan Service HP</t>
  </si>
  <si>
    <t>Kelurahan Kalibeber (Mojotengah)</t>
  </si>
  <si>
    <t>27 April 2018</t>
  </si>
  <si>
    <t>Pelatihan Montir Sepeda Motor, Las dan Komputer bagi pemuda Angkatan Pencari Kerja</t>
  </si>
  <si>
    <t>pelatihan montir sepeda motor, las dan komputer</t>
  </si>
  <si>
    <t>3 kejuruan (48 orang)</t>
  </si>
  <si>
    <t>Panti Asuhan Yayasan Muhammadiyah Kauman (Wonosobo)</t>
  </si>
  <si>
    <t>Pelatihan peningkatan skill bagi pemuda mandiri membangun desa Kabupaten Wonosobo</t>
  </si>
  <si>
    <t>Pelatihan pembuatan sabun</t>
  </si>
  <si>
    <t>50 orang</t>
  </si>
  <si>
    <t>RM Wonoboga</t>
  </si>
  <si>
    <t>2 kegiatran</t>
  </si>
  <si>
    <t>01 Maret 2018</t>
  </si>
  <si>
    <t>15 Maret 2018</t>
  </si>
  <si>
    <t>Pelatihan House Maid</t>
  </si>
  <si>
    <t>Pelatihan life skill bagi pemuda putus sekolah</t>
  </si>
  <si>
    <t>Pelatihan menjahit</t>
  </si>
  <si>
    <t>25 orang</t>
  </si>
  <si>
    <t>Wisma PJKA Kokas Wonosobo dan Kelurahan Sapuran</t>
  </si>
  <si>
    <t>3 Kegiatan</t>
  </si>
  <si>
    <t>16 April 2018</t>
  </si>
  <si>
    <t>25 April 2018</t>
  </si>
  <si>
    <t>Pelatihan Las</t>
  </si>
  <si>
    <t>Pelatihan Komputer</t>
  </si>
  <si>
    <t>15 orang</t>
  </si>
  <si>
    <t>Pelatihan peningkatan kompetensi angkatan kerja wanita</t>
  </si>
  <si>
    <t>Pelatihan Prosessing Hasl Pertanian (PHP)</t>
  </si>
  <si>
    <t>48 orang</t>
  </si>
  <si>
    <t>Desa Kalikuning, Maduretno (Kalikajar) Desa Temenggungan (Selomerto) LKP Puspa Rini (Mojotengah), Wisma PJKA Kokas Wonosobo</t>
  </si>
  <si>
    <t>4 Kegiatan</t>
  </si>
  <si>
    <t>01 April 2018</t>
  </si>
  <si>
    <t>Pelatihan salon</t>
  </si>
  <si>
    <t>Pelatihan Kerajinan Bambu</t>
  </si>
  <si>
    <t>Pelatihan Baby Sitter</t>
  </si>
  <si>
    <t>Rehabilitasi gedung pelatihan BKLN dan Pariwisata</t>
  </si>
  <si>
    <t>CV. Golden Brave</t>
  </si>
  <si>
    <t>Pelatihan pembuatan tas rajut tingkat lanjut</t>
  </si>
  <si>
    <t>Pelatihan Pembuatan Tas Rajut</t>
  </si>
  <si>
    <t>16 Orang</t>
  </si>
  <si>
    <t>Pondok Life Skill Jamuniro</t>
  </si>
  <si>
    <t>Pelatihan Ketrampilan Tata Boga</t>
  </si>
  <si>
    <t>Desa Beran (Kepil)</t>
  </si>
  <si>
    <t>Pelatihan ketrampilan las di Kecamatan Kaliwiro</t>
  </si>
  <si>
    <t>Pelatihan Ketrampilan Las</t>
  </si>
  <si>
    <t>20 Orang</t>
  </si>
  <si>
    <t>Kecamatan Kaliwiro</t>
  </si>
  <si>
    <t>3 Desember 2018</t>
  </si>
  <si>
    <t>13 Desember 2018</t>
  </si>
  <si>
    <t>Pelatihan ketrampilan dan kewirausahaan bagi tenaga kerja muda</t>
  </si>
  <si>
    <t>Pelatihan Sablon, Boga, Pengolahan Ikan dan Las</t>
  </si>
  <si>
    <t>100 Orang</t>
  </si>
  <si>
    <t>Desa Krasak (Pengolahan Ikan), Larangan Kulon (Boga), Deroduwur (Sablon), Kuripan (Las)</t>
  </si>
  <si>
    <t>4 kegiatan</t>
  </si>
  <si>
    <t>13 November 2018</t>
  </si>
  <si>
    <t>Pelatihan Manajemen dan keuangan industri kecil</t>
  </si>
  <si>
    <t>Pelatihan Manajemen Keuangan dan Outbond</t>
  </si>
  <si>
    <t>25 Orang</t>
  </si>
  <si>
    <t>11 Desember 2018</t>
  </si>
  <si>
    <t>21 Desember 2018</t>
  </si>
  <si>
    <t>CV. Sela Kencana</t>
  </si>
  <si>
    <t>Pelatihan Intensifikasi pengolahan produk kopi</t>
  </si>
  <si>
    <t>Pelatihan Praktek Rosting Kopi</t>
  </si>
  <si>
    <t>Desa Bogoran (Kepil)</t>
  </si>
  <si>
    <t>Pelatihan pengembangan kewirausahaan IKM</t>
  </si>
  <si>
    <t>Pelatihan Sablon Digital dan Running Text</t>
  </si>
  <si>
    <t>75 Orang</t>
  </si>
  <si>
    <t>Desa Butuh (Kalikajar) dan Desa Candimulyo (Kertek)</t>
  </si>
  <si>
    <t>5 Desember 2018</t>
  </si>
  <si>
    <t>20 Desember 2018</t>
  </si>
  <si>
    <t>CV. Prima Jaya dan CV. El-Girayya</t>
  </si>
  <si>
    <t>Pelatihan ketrampilan bagi kelompok rentan</t>
  </si>
  <si>
    <t>Pelatihan Boga</t>
  </si>
  <si>
    <t>17 Desember 2018</t>
  </si>
  <si>
    <t>Pelatihan skill perempuan produktif industri konveksi</t>
  </si>
  <si>
    <t>Pelatihan Ketrampilan bagi Industri Konveksi</t>
  </si>
  <si>
    <t>Kecamtan Selomerto</t>
  </si>
  <si>
    <t>15 November 2018</t>
  </si>
  <si>
    <t>4 Desember 2018</t>
  </si>
  <si>
    <t>Pelatihan tenaga kerja mandiri bagi IKM</t>
  </si>
  <si>
    <t>Pelatihan Peningkatan Produksi</t>
  </si>
  <si>
    <t>30 Orang</t>
  </si>
  <si>
    <t>Sentra IK di Kab. Wonosobo</t>
  </si>
  <si>
    <t>Lembaga Wonosobo Information Center</t>
  </si>
  <si>
    <t>Pelatihan skill bagi organisasi masyarakat di Kabupaten Wonosobo</t>
  </si>
  <si>
    <t>Fasilitasi industri jasa bagi pemuda putus sekolah</t>
  </si>
  <si>
    <t>Pelatihan Ketrampilan Running Text</t>
  </si>
  <si>
    <t>IKM di Kecamatan Selomerto</t>
  </si>
  <si>
    <t>Bantuan kelompok pelatihan membuat pelet ikan</t>
  </si>
  <si>
    <t>Fasilitasi industri kesenian, olahraga, tata boga dan otomotif</t>
  </si>
  <si>
    <t>Pelatihan Otomitf, Sablon, mebatik dan tata boga</t>
  </si>
  <si>
    <t>120 orang</t>
  </si>
  <si>
    <t>Kecamatan Selomerto</t>
  </si>
  <si>
    <t>Pelatihan pengelolaan bambu cendani desa serang, tambi</t>
  </si>
  <si>
    <t>Pelatihan Pngelolaan Bambu Cendani</t>
  </si>
  <si>
    <t>Desa Serang (Kejajar)</t>
  </si>
  <si>
    <t>B</t>
  </si>
  <si>
    <t>Penyiapan tenaga kerja siap pakai</t>
  </si>
  <si>
    <t>Pelatihan kejuruan otomotif dan menjahit</t>
  </si>
  <si>
    <t>2 kegiatan</t>
  </si>
  <si>
    <t>Pengembangan kelembagaan produktivitas dan pelatihan kewirausahaan</t>
  </si>
  <si>
    <t>Pelatihan kewirausahaan</t>
  </si>
  <si>
    <t>30 Agustus 2018</t>
  </si>
  <si>
    <t>01 Oktober 2018</t>
  </si>
  <si>
    <t>Pengembangan pelayanan informasi pasar kerja</t>
  </si>
  <si>
    <t>Job Fair</t>
  </si>
  <si>
    <t>1200 pencari kerja</t>
  </si>
  <si>
    <t>Perluasan kesempatan kerja melalui padat karya</t>
  </si>
  <si>
    <t>Padat Karya Infrastruktur</t>
  </si>
  <si>
    <t>120 orang, 3 lokasi</t>
  </si>
  <si>
    <t>Padat karya infrastuktur</t>
  </si>
  <si>
    <t>750 orang, 15 lokasi</t>
  </si>
  <si>
    <t>C</t>
  </si>
  <si>
    <t>Fasilitasi penyelesaian prosedur, penyelesaian hubungan industrial</t>
  </si>
  <si>
    <t>Penyuluhan Peyelesaian kasus HI</t>
  </si>
  <si>
    <t>9 kali, 18 kasus</t>
  </si>
  <si>
    <t>Fasilitasi kepersertaan BPJS Ketenagakerjaan</t>
  </si>
  <si>
    <t>Pengarahan jamsostek kepada peserta program AKAD</t>
  </si>
  <si>
    <t>30 kali, 600 orang</t>
  </si>
  <si>
    <t>Fasilitasi klaim BPJS Ketenagakerjaan</t>
  </si>
  <si>
    <t>20 kali, 20 kasus</t>
  </si>
  <si>
    <t>Sosialisasi tentang BPJS</t>
  </si>
  <si>
    <t>1 kali, 20 orang</t>
  </si>
  <si>
    <t>Fasilitasi kegiatan Dewan Pengupahan Kabupaten</t>
  </si>
  <si>
    <t>Pemantauan UMK 2018</t>
  </si>
  <si>
    <t>10 kali, 20 perusahaan</t>
  </si>
  <si>
    <t>Sidang Depekab</t>
  </si>
  <si>
    <t>1 paket</t>
  </si>
  <si>
    <t>Sosialisasi UMK 2019, struktur skala upah</t>
  </si>
  <si>
    <t>1 kali, 50 orang</t>
  </si>
  <si>
    <t>Fasilitasi peneparan syarat kerja non diskriminatif</t>
  </si>
  <si>
    <t>Sosialisasi penerapan syarat kerja</t>
  </si>
  <si>
    <t>1 kali, 40 orang</t>
  </si>
  <si>
    <t>Pemetaan Kerawanan Perusahaan</t>
  </si>
  <si>
    <t>1 kali, 200 orang</t>
  </si>
  <si>
    <t>Peningkatan lembaga ketenagakerjaan LKS Bipartit, Tripartit dan Serikat Pekerja</t>
  </si>
  <si>
    <t>Sidang Badan Pekerja LKS Tripartit</t>
  </si>
  <si>
    <t>4 kali</t>
  </si>
  <si>
    <t>Sidang LKS Tripartit</t>
  </si>
  <si>
    <t>Sidang Pleno LKS Tripartit</t>
  </si>
  <si>
    <t>1 klai</t>
  </si>
  <si>
    <t>Verifikasi Serikat Pekerja</t>
  </si>
  <si>
    <t>30 Serikat Pkejra</t>
  </si>
  <si>
    <t>Peringatan Hari Buruh</t>
  </si>
  <si>
    <t>1 kali</t>
  </si>
  <si>
    <t>Peningkatan pelayanan penempatan dan perlindungan tenaga kerja</t>
  </si>
  <si>
    <t>Sosialisasi Ketenagakerjaan</t>
  </si>
  <si>
    <t>13 kali</t>
  </si>
  <si>
    <t>Sosialisasi PAP AKAD</t>
  </si>
  <si>
    <t>14 kali</t>
  </si>
  <si>
    <t>Pembinaan dan Sosialisasi PPTKIS</t>
  </si>
  <si>
    <t>2 kali</t>
  </si>
  <si>
    <t>Pembinaan Forum Komunikasi BKK</t>
  </si>
  <si>
    <t>Sosialisasi pencegahan human trafficking</t>
  </si>
  <si>
    <t>Penyusunan Buku Informasi</t>
  </si>
  <si>
    <t>12 paket</t>
  </si>
  <si>
    <t>Pembinaan forum HRD</t>
  </si>
  <si>
    <t>D</t>
  </si>
  <si>
    <t>Fasilitasi sertifikasi standar mutu produk</t>
  </si>
  <si>
    <t>Fasilitasi GMP IKM</t>
  </si>
  <si>
    <t>2 IKM</t>
  </si>
  <si>
    <t>Penunjukkan Langsung</t>
  </si>
  <si>
    <t>PT. Iz Raya Pratama</t>
  </si>
  <si>
    <t>Pengembangan TTG</t>
  </si>
  <si>
    <t>Pelatihan TTG pakan ternak ayam; studi referensi</t>
  </si>
  <si>
    <t>Desa Candimulyo (Kertek)</t>
  </si>
  <si>
    <t>20 Maret 2018</t>
  </si>
  <si>
    <t>26 Maret 2018</t>
  </si>
  <si>
    <t>E</t>
  </si>
  <si>
    <t>Pembinaan industri kecil dan menengah dalam memperkuat jaringan klaster industri</t>
  </si>
  <si>
    <t>Pelatihan AMT (Achievment Motivation Training)</t>
  </si>
  <si>
    <t>Platihan Digilalisasi Sentra Industri</t>
  </si>
  <si>
    <t>Fasilitasi kerjasama kemitraan industri mikro, kecil dan menengah dengan swasta</t>
  </si>
  <si>
    <t>Temu Bisnis</t>
  </si>
  <si>
    <t>75 orang</t>
  </si>
  <si>
    <t>Pelatihan peningkatan manajerial IKM</t>
  </si>
  <si>
    <t>PelatihanProduk Kerajianan Logam</t>
  </si>
  <si>
    <t>Sentra IKM Kelurahan Jlramprang</t>
  </si>
  <si>
    <t>Pelatihan peningkatan SDM dan diversifikasi produk IKM</t>
  </si>
  <si>
    <t>Pelatihan GMP, Study Refensi dan Diversifikasi Produk IKM Bambu</t>
  </si>
  <si>
    <t>50 Orang</t>
  </si>
  <si>
    <t>Kawasan Rojonoto dan Desa Erorejo (Wadaslintang)</t>
  </si>
  <si>
    <t>Pengadaaan sarana maupun prasarana IKM Logam</t>
  </si>
  <si>
    <t>Penyempurnaan Pembangunan Gedung IKM Logam</t>
  </si>
  <si>
    <t>Pembangunan Gedung</t>
  </si>
  <si>
    <t>Kelurahan Jlamprang</t>
  </si>
  <si>
    <t>26 November 2018</t>
  </si>
  <si>
    <t>25 Desember 2018</t>
  </si>
  <si>
    <t>CV. Gerak Maju</t>
  </si>
  <si>
    <t>F</t>
  </si>
  <si>
    <t>Program Penataan Struktur Industri</t>
  </si>
  <si>
    <t>Penyediaan sarana maupun prasarana klaster industri</t>
  </si>
  <si>
    <t>Pengadaan sarana prasarana kerja klaster</t>
  </si>
  <si>
    <t>G</t>
  </si>
  <si>
    <t>Fasilitasi berdiri dan berkembangnya sentra menjadi klaster industri</t>
  </si>
  <si>
    <t>Pelatihan Kerajinan Souvenir</t>
  </si>
  <si>
    <t>Pelatihan kerajinan edukasi</t>
  </si>
  <si>
    <t>Peningkatan ketrampilan dan pengembangan SDM IKM</t>
  </si>
  <si>
    <t>30 oramg</t>
  </si>
  <si>
    <t>Revitalisasi Sentra IKM (DAK)</t>
  </si>
  <si>
    <t>Pengadaan sarana prasarana revitalisasi sentra IKM Logam</t>
  </si>
  <si>
    <t>8 Juni 2018</t>
  </si>
  <si>
    <t>PT. Bina Pertiwi</t>
  </si>
  <si>
    <t>Lelang</t>
  </si>
  <si>
    <t>18 Juli 2018</t>
  </si>
  <si>
    <t>Pengerahan dan fasilitasi perpindahan serta penempatan transmigrasi untuk memenuhi kebutuhan SDM</t>
  </si>
  <si>
    <t>penempatan transmigran</t>
  </si>
  <si>
    <t>lokasi transmigran</t>
  </si>
  <si>
    <t>sarana prasarana pelayanan transmigran</t>
  </si>
  <si>
    <t>5 KK</t>
  </si>
  <si>
    <t>pemberangkatan transmigran</t>
  </si>
  <si>
    <t>Fasilitasi kerjasama dengan daerah transmigran untuk penambahan lokasi dan kuota</t>
  </si>
  <si>
    <t>penjajagan lokasi</t>
  </si>
  <si>
    <t>Sijunjung (Sumbar), Putusibau (Kalbar)</t>
  </si>
  <si>
    <t>kuota penempatan 2018</t>
  </si>
  <si>
    <t>Wonosobo,   Desember 2018</t>
  </si>
  <si>
    <t xml:space="preserve">KEPALA DINAS </t>
  </si>
  <si>
    <t>TENAGA KERJA PERINDUSTRIAN DAN TRANSMIGRASI</t>
  </si>
  <si>
    <t>NIP. 19630728 199203 1 010</t>
  </si>
  <si>
    <t>:  III (Juli)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</si>
</sst>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[$-421]dd\ mmmm\ yy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name val="Calibri"/>
      <family val="2"/>
      <scheme val="minor"/>
    </font>
    <font>
      <i/>
      <sz val="8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sz val="9"/>
      <name val="Arial Narrow"/>
      <family val="2"/>
    </font>
    <font>
      <sz val="10"/>
      <name val="Arial Narrow"/>
      <family val="2"/>
    </font>
    <font>
      <b/>
      <sz val="12"/>
      <name val="Calibri"/>
      <family val="2"/>
      <scheme val="minor"/>
    </font>
    <font>
      <sz val="9"/>
      <name val="Calibri"/>
      <family val="2"/>
      <charset val="1"/>
      <scheme val="minor"/>
    </font>
    <font>
      <i/>
      <sz val="8"/>
      <name val="Arial Narrow"/>
      <family val="2"/>
    </font>
    <font>
      <b/>
      <sz val="10"/>
      <name val="Arial Narrow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1"/>
      <scheme val="minor"/>
    </font>
    <font>
      <sz val="11"/>
      <name val="Arial Narrow"/>
      <family val="2"/>
    </font>
    <font>
      <sz val="11"/>
      <name val="Tahoma"/>
      <family val="2"/>
    </font>
    <font>
      <b/>
      <sz val="9"/>
      <name val="Arial Narrow"/>
      <family val="2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41" fontId="2" fillId="0" borderId="1" xfId="0" applyNumberFormat="1" applyFont="1" applyFill="1" applyBorder="1" applyAlignment="1">
      <alignment vertical="top" wrapText="1"/>
    </xf>
    <xf numFmtId="41" fontId="2" fillId="0" borderId="1" xfId="1" applyNumberFormat="1" applyFont="1" applyFill="1" applyBorder="1" applyAlignment="1">
      <alignment vertical="top"/>
    </xf>
    <xf numFmtId="41" fontId="2" fillId="0" borderId="1" xfId="0" applyNumberFormat="1" applyFont="1" applyFill="1" applyBorder="1" applyAlignment="1">
      <alignment vertical="top"/>
    </xf>
    <xf numFmtId="0" fontId="0" fillId="0" borderId="1" xfId="0" applyBorder="1" applyAlignment="1">
      <alignment horizontal="center" vertical="center"/>
    </xf>
    <xf numFmtId="41" fontId="0" fillId="0" borderId="1" xfId="2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41" fontId="3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41" fontId="3" fillId="2" borderId="1" xfId="0" applyNumberFormat="1" applyFont="1" applyFill="1" applyBorder="1" applyAlignment="1">
      <alignment vertical="top"/>
    </xf>
    <xf numFmtId="164" fontId="2" fillId="0" borderId="1" xfId="2" applyNumberFormat="1" applyFont="1" applyBorder="1" applyAlignment="1">
      <alignment horizontal="left" vertical="top"/>
    </xf>
    <xf numFmtId="2" fontId="2" fillId="0" borderId="1" xfId="3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 indent="1"/>
    </xf>
    <xf numFmtId="0" fontId="3" fillId="2" borderId="1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2" fontId="3" fillId="2" borderId="1" xfId="0" applyNumberFormat="1" applyFont="1" applyFill="1" applyBorder="1" applyAlignment="1">
      <alignment horizontal="center" vertical="top"/>
    </xf>
    <xf numFmtId="43" fontId="3" fillId="2" borderId="1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/>
    </xf>
    <xf numFmtId="0" fontId="1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center" vertical="top" wrapText="1"/>
    </xf>
    <xf numFmtId="15" fontId="2" fillId="0" borderId="1" xfId="0" quotePrefix="1" applyNumberFormat="1" applyFont="1" applyBorder="1" applyAlignment="1">
      <alignment horizontal="center" vertical="top"/>
    </xf>
    <xf numFmtId="0" fontId="2" fillId="0" borderId="1" xfId="0" quotePrefix="1" applyFont="1" applyBorder="1" applyAlignment="1">
      <alignment horizontal="left" vertical="top"/>
    </xf>
    <xf numFmtId="15" fontId="2" fillId="0" borderId="1" xfId="0" applyNumberFormat="1" applyFont="1" applyBorder="1" applyAlignment="1">
      <alignment horizontal="left" vertical="top"/>
    </xf>
    <xf numFmtId="2" fontId="2" fillId="0" borderId="1" xfId="2" applyNumberFormat="1" applyFont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41" fontId="9" fillId="3" borderId="1" xfId="0" applyNumberFormat="1" applyFont="1" applyFill="1" applyBorder="1" applyAlignment="1">
      <alignment vertical="top" wrapText="1"/>
    </xf>
    <xf numFmtId="0" fontId="2" fillId="0" borderId="1" xfId="0" quotePrefix="1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top"/>
    </xf>
    <xf numFmtId="43" fontId="2" fillId="0" borderId="1" xfId="0" applyNumberFormat="1" applyFont="1" applyBorder="1" applyAlignment="1">
      <alignment horizontal="left" vertical="top"/>
    </xf>
    <xf numFmtId="0" fontId="18" fillId="0" borderId="0" xfId="0" applyFont="1" applyFill="1" applyAlignment="1">
      <alignment vertical="top"/>
    </xf>
    <xf numFmtId="0" fontId="13" fillId="0" borderId="0" xfId="0" applyFont="1" applyFill="1"/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top"/>
    </xf>
    <xf numFmtId="41" fontId="21" fillId="0" borderId="3" xfId="0" applyNumberFormat="1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left" vertical="top"/>
    </xf>
    <xf numFmtId="3" fontId="21" fillId="0" borderId="1" xfId="0" applyNumberFormat="1" applyFont="1" applyFill="1" applyBorder="1" applyAlignment="1">
      <alignment vertical="top" wrapText="1"/>
    </xf>
    <xf numFmtId="3" fontId="17" fillId="0" borderId="2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left" vertical="top" wrapText="1"/>
    </xf>
    <xf numFmtId="3" fontId="17" fillId="0" borderId="1" xfId="0" applyNumberFormat="1" applyFont="1" applyFill="1" applyBorder="1" applyAlignment="1">
      <alignment horizontal="right" vertical="top"/>
    </xf>
    <xf numFmtId="0" fontId="17" fillId="0" borderId="2" xfId="0" applyFont="1" applyFill="1" applyBorder="1" applyAlignment="1">
      <alignment horizontal="center" vertical="top"/>
    </xf>
    <xf numFmtId="0" fontId="17" fillId="0" borderId="2" xfId="0" applyFont="1" applyFill="1" applyBorder="1" applyAlignment="1">
      <alignment horizontal="left" vertical="top" wrapText="1"/>
    </xf>
    <xf numFmtId="41" fontId="17" fillId="0" borderId="1" xfId="1" applyFont="1" applyFill="1" applyBorder="1" applyAlignment="1">
      <alignment horizontal="center" vertical="top"/>
    </xf>
    <xf numFmtId="41" fontId="17" fillId="0" borderId="2" xfId="1" applyFont="1" applyFill="1" applyBorder="1" applyAlignment="1">
      <alignment horizontal="center" vertical="top"/>
    </xf>
    <xf numFmtId="41" fontId="17" fillId="0" borderId="2" xfId="1" applyFont="1" applyFill="1" applyBorder="1" applyAlignment="1">
      <alignment vertical="top"/>
    </xf>
    <xf numFmtId="41" fontId="17" fillId="0" borderId="3" xfId="1" applyFont="1" applyFill="1" applyBorder="1" applyAlignment="1">
      <alignment vertical="top"/>
    </xf>
    <xf numFmtId="3" fontId="17" fillId="0" borderId="2" xfId="0" applyNumberFormat="1" applyFont="1" applyFill="1" applyBorder="1" applyAlignment="1">
      <alignment horizontal="right" vertical="top"/>
    </xf>
    <xf numFmtId="41" fontId="17" fillId="0" borderId="11" xfId="1" applyFont="1" applyFill="1" applyBorder="1" applyAlignment="1">
      <alignment vertical="top"/>
    </xf>
    <xf numFmtId="0" fontId="22" fillId="0" borderId="10" xfId="0" applyFont="1" applyFill="1" applyBorder="1" applyAlignment="1">
      <alignment vertical="top"/>
    </xf>
    <xf numFmtId="0" fontId="17" fillId="0" borderId="1" xfId="0" applyFont="1" applyFill="1" applyBorder="1" applyAlignment="1">
      <alignment horizontal="left" vertical="top"/>
    </xf>
    <xf numFmtId="0" fontId="17" fillId="0" borderId="1" xfId="0" applyFont="1" applyFill="1" applyBorder="1" applyAlignment="1">
      <alignment vertical="top" wrapText="1"/>
    </xf>
    <xf numFmtId="0" fontId="17" fillId="0" borderId="3" xfId="0" applyFont="1" applyFill="1" applyBorder="1" applyAlignment="1">
      <alignment vertical="top" wrapText="1"/>
    </xf>
    <xf numFmtId="0" fontId="21" fillId="0" borderId="1" xfId="0" applyFont="1" applyFill="1" applyBorder="1" applyAlignment="1">
      <alignment horizontal="left" vertical="top"/>
    </xf>
    <xf numFmtId="3" fontId="21" fillId="0" borderId="1" xfId="0" applyNumberFormat="1" applyFont="1" applyFill="1" applyBorder="1" applyAlignment="1">
      <alignment horizontal="right" vertical="top"/>
    </xf>
    <xf numFmtId="0" fontId="17" fillId="0" borderId="1" xfId="0" applyFont="1" applyFill="1" applyBorder="1" applyAlignment="1">
      <alignment horizontal="center" vertical="top"/>
    </xf>
    <xf numFmtId="3" fontId="17" fillId="0" borderId="1" xfId="0" applyNumberFormat="1" applyFont="1" applyFill="1" applyBorder="1" applyAlignment="1">
      <alignment horizontal="center" vertical="top"/>
    </xf>
    <xf numFmtId="41" fontId="17" fillId="0" borderId="1" xfId="1" applyFont="1" applyFill="1" applyBorder="1" applyAlignment="1">
      <alignment vertical="top" wrapText="1"/>
    </xf>
    <xf numFmtId="2" fontId="17" fillId="0" borderId="4" xfId="0" applyNumberFormat="1" applyFont="1" applyFill="1" applyBorder="1" applyAlignment="1">
      <alignment horizontal="center" vertical="top" wrapText="1"/>
    </xf>
    <xf numFmtId="0" fontId="21" fillId="0" borderId="4" xfId="0" applyFont="1" applyFill="1" applyBorder="1" applyAlignment="1">
      <alignment vertical="top"/>
    </xf>
    <xf numFmtId="0" fontId="21" fillId="0" borderId="5" xfId="0" applyFont="1" applyFill="1" applyBorder="1" applyAlignment="1">
      <alignment vertical="top"/>
    </xf>
    <xf numFmtId="0" fontId="17" fillId="0" borderId="4" xfId="0" applyFont="1" applyFill="1" applyBorder="1" applyAlignment="1">
      <alignment horizontal="left" vertical="top" wrapText="1"/>
    </xf>
    <xf numFmtId="41" fontId="21" fillId="0" borderId="1" xfId="0" applyNumberFormat="1" applyFont="1" applyFill="1" applyBorder="1" applyAlignment="1">
      <alignment vertical="top"/>
    </xf>
    <xf numFmtId="41" fontId="21" fillId="0" borderId="6" xfId="0" applyNumberFormat="1" applyFont="1" applyFill="1" applyBorder="1" applyAlignment="1">
      <alignment vertical="top"/>
    </xf>
    <xf numFmtId="41" fontId="17" fillId="0" borderId="1" xfId="1" applyFont="1" applyFill="1" applyBorder="1" applyAlignment="1">
      <alignment vertical="top"/>
    </xf>
    <xf numFmtId="0" fontId="21" fillId="0" borderId="4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 wrapText="1"/>
    </xf>
    <xf numFmtId="3" fontId="16" fillId="0" borderId="0" xfId="0" applyNumberFormat="1" applyFont="1" applyFill="1" applyBorder="1" applyAlignment="1">
      <alignment horizontal="right" vertical="center"/>
    </xf>
    <xf numFmtId="3" fontId="17" fillId="0" borderId="0" xfId="0" applyNumberFormat="1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41" fontId="27" fillId="0" borderId="0" xfId="0" applyNumberFormat="1" applyFont="1" applyFill="1" applyBorder="1" applyAlignment="1">
      <alignment vertical="center"/>
    </xf>
    <xf numFmtId="41" fontId="16" fillId="0" borderId="0" xfId="1" applyFont="1" applyFill="1" applyBorder="1" applyAlignment="1">
      <alignment vertical="center"/>
    </xf>
    <xf numFmtId="0" fontId="19" fillId="0" borderId="0" xfId="0" applyFont="1" applyFill="1"/>
    <xf numFmtId="0" fontId="11" fillId="0" borderId="0" xfId="0" applyFont="1" applyFill="1"/>
    <xf numFmtId="0" fontId="17" fillId="0" borderId="3" xfId="0" applyFont="1" applyFill="1" applyBorder="1" applyAlignment="1">
      <alignment horizontal="center" vertical="top"/>
    </xf>
    <xf numFmtId="0" fontId="17" fillId="0" borderId="3" xfId="0" applyFont="1" applyFill="1" applyBorder="1" applyAlignment="1">
      <alignment horizontal="center" vertical="top" wrapText="1"/>
    </xf>
    <xf numFmtId="2" fontId="21" fillId="0" borderId="8" xfId="0" applyNumberFormat="1" applyFont="1" applyFill="1" applyBorder="1" applyAlignment="1">
      <alignment horizontal="center" vertical="top" wrapText="1"/>
    </xf>
    <xf numFmtId="2" fontId="21" fillId="0" borderId="3" xfId="0" applyNumberFormat="1" applyFont="1" applyFill="1" applyBorder="1" applyAlignment="1">
      <alignment horizontal="center" vertical="top" wrapText="1"/>
    </xf>
    <xf numFmtId="2" fontId="21" fillId="0" borderId="1" xfId="0" applyNumberFormat="1" applyFont="1" applyFill="1" applyBorder="1" applyAlignment="1">
      <alignment horizontal="center" vertical="top" wrapText="1"/>
    </xf>
    <xf numFmtId="0" fontId="22" fillId="0" borderId="0" xfId="0" applyFont="1" applyFill="1" applyAlignment="1">
      <alignment vertical="top"/>
    </xf>
    <xf numFmtId="0" fontId="21" fillId="0" borderId="1" xfId="0" applyFont="1" applyFill="1" applyBorder="1" applyAlignment="1">
      <alignment horizontal="center" vertical="top"/>
    </xf>
    <xf numFmtId="0" fontId="17" fillId="0" borderId="9" xfId="0" applyFont="1" applyFill="1" applyBorder="1" applyAlignment="1">
      <alignment horizontal="left" vertical="top" wrapText="1"/>
    </xf>
    <xf numFmtId="41" fontId="17" fillId="0" borderId="2" xfId="1" applyFont="1" applyFill="1" applyBorder="1" applyAlignment="1">
      <alignment horizontal="right" vertical="top" wrapText="1"/>
    </xf>
    <xf numFmtId="2" fontId="17" fillId="0" borderId="10" xfId="0" applyNumberFormat="1" applyFont="1" applyFill="1" applyBorder="1" applyAlignment="1">
      <alignment horizontal="center" vertical="top" wrapText="1"/>
    </xf>
    <xf numFmtId="2" fontId="17" fillId="0" borderId="7" xfId="0" applyNumberFormat="1" applyFont="1" applyFill="1" applyBorder="1" applyAlignment="1">
      <alignment horizontal="center" vertical="top" wrapText="1"/>
    </xf>
    <xf numFmtId="2" fontId="21" fillId="0" borderId="7" xfId="0" applyNumberFormat="1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vertical="top" wrapText="1"/>
    </xf>
    <xf numFmtId="2" fontId="21" fillId="0" borderId="10" xfId="0" applyNumberFormat="1" applyFont="1" applyFill="1" applyBorder="1" applyAlignment="1">
      <alignment horizontal="center" vertical="top" wrapText="1"/>
    </xf>
    <xf numFmtId="0" fontId="22" fillId="0" borderId="7" xfId="0" applyFont="1" applyFill="1" applyBorder="1" applyAlignment="1">
      <alignment vertical="top"/>
    </xf>
    <xf numFmtId="0" fontId="17" fillId="0" borderId="2" xfId="0" applyFont="1" applyFill="1" applyBorder="1" applyAlignment="1">
      <alignment horizontal="center" vertical="top" wrapText="1"/>
    </xf>
    <xf numFmtId="41" fontId="17" fillId="0" borderId="1" xfId="1" applyFont="1" applyFill="1" applyBorder="1" applyAlignment="1">
      <alignment horizontal="right" vertical="top" wrapText="1"/>
    </xf>
    <xf numFmtId="2" fontId="17" fillId="0" borderId="1" xfId="0" applyNumberFormat="1" applyFont="1" applyFill="1" applyBorder="1" applyAlignment="1">
      <alignment horizontal="center" vertical="top" wrapText="1"/>
    </xf>
    <xf numFmtId="0" fontId="17" fillId="0" borderId="1" xfId="0" quotePrefix="1" applyNumberFormat="1" applyFont="1" applyFill="1" applyBorder="1" applyAlignment="1">
      <alignment horizontal="center" vertical="top" wrapText="1"/>
    </xf>
    <xf numFmtId="41" fontId="17" fillId="0" borderId="1" xfId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2" fontId="17" fillId="0" borderId="3" xfId="0" applyNumberFormat="1" applyFont="1" applyFill="1" applyBorder="1" applyAlignment="1">
      <alignment horizontal="center" vertical="top" wrapText="1"/>
    </xf>
    <xf numFmtId="2" fontId="17" fillId="0" borderId="2" xfId="0" applyNumberFormat="1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left" vertical="top" wrapText="1"/>
    </xf>
    <xf numFmtId="41" fontId="17" fillId="0" borderId="3" xfId="1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vertical="top" wrapText="1"/>
    </xf>
    <xf numFmtId="41" fontId="17" fillId="0" borderId="2" xfId="1" applyFont="1" applyFill="1" applyBorder="1" applyAlignment="1">
      <alignment horizontal="left" vertical="top" wrapText="1"/>
    </xf>
    <xf numFmtId="41" fontId="17" fillId="0" borderId="2" xfId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vertical="top"/>
    </xf>
    <xf numFmtId="0" fontId="17" fillId="0" borderId="2" xfId="0" quotePrefix="1" applyNumberFormat="1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vertical="top"/>
    </xf>
    <xf numFmtId="0" fontId="24" fillId="0" borderId="7" xfId="0" applyFont="1" applyFill="1" applyBorder="1" applyAlignment="1">
      <alignment vertical="top"/>
    </xf>
    <xf numFmtId="0" fontId="17" fillId="0" borderId="7" xfId="0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horizontal="center" vertical="top" wrapText="1"/>
    </xf>
    <xf numFmtId="41" fontId="17" fillId="0" borderId="1" xfId="1" applyFont="1" applyFill="1" applyBorder="1" applyAlignment="1">
      <alignment horizontal="left" vertical="top" wrapText="1"/>
    </xf>
    <xf numFmtId="0" fontId="17" fillId="0" borderId="12" xfId="0" applyFont="1" applyFill="1" applyBorder="1" applyAlignment="1">
      <alignment vertical="top" wrapText="1"/>
    </xf>
    <xf numFmtId="0" fontId="17" fillId="0" borderId="9" xfId="0" applyFont="1" applyFill="1" applyBorder="1" applyAlignment="1">
      <alignment vertical="top" wrapText="1"/>
    </xf>
    <xf numFmtId="0" fontId="17" fillId="0" borderId="8" xfId="0" applyFont="1" applyFill="1" applyBorder="1" applyAlignment="1">
      <alignment horizontal="left" vertical="top" wrapText="1"/>
    </xf>
    <xf numFmtId="3" fontId="17" fillId="0" borderId="3" xfId="0" applyNumberFormat="1" applyFont="1" applyFill="1" applyBorder="1" applyAlignment="1">
      <alignment horizontal="right" vertical="top"/>
    </xf>
    <xf numFmtId="41" fontId="17" fillId="0" borderId="8" xfId="1" applyFont="1" applyFill="1" applyBorder="1" applyAlignment="1">
      <alignment horizontal="center" vertical="top" wrapText="1"/>
    </xf>
    <xf numFmtId="0" fontId="17" fillId="0" borderId="3" xfId="0" quotePrefix="1" applyNumberFormat="1" applyFont="1" applyFill="1" applyBorder="1" applyAlignment="1">
      <alignment horizontal="center" vertical="top" wrapText="1"/>
    </xf>
    <xf numFmtId="41" fontId="17" fillId="0" borderId="3" xfId="1" applyFont="1" applyFill="1" applyBorder="1" applyAlignment="1">
      <alignment horizontal="center" vertical="top"/>
    </xf>
    <xf numFmtId="0" fontId="17" fillId="0" borderId="1" xfId="0" applyFont="1" applyFill="1" applyBorder="1" applyAlignment="1">
      <alignment vertical="top"/>
    </xf>
    <xf numFmtId="0" fontId="17" fillId="0" borderId="6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vertical="top" wrapText="1"/>
    </xf>
    <xf numFmtId="41" fontId="17" fillId="0" borderId="1" xfId="1" applyFont="1" applyFill="1" applyBorder="1" applyAlignment="1">
      <alignment horizontal="right" vertical="top"/>
    </xf>
    <xf numFmtId="0" fontId="17" fillId="0" borderId="13" xfId="0" applyFont="1" applyFill="1" applyBorder="1" applyAlignment="1">
      <alignment horizontal="center" vertical="top"/>
    </xf>
    <xf numFmtId="0" fontId="17" fillId="0" borderId="9" xfId="0" applyFont="1" applyFill="1" applyBorder="1" applyAlignment="1">
      <alignment vertical="top"/>
    </xf>
    <xf numFmtId="0" fontId="17" fillId="0" borderId="0" xfId="0" applyFont="1" applyFill="1" applyBorder="1" applyAlignment="1">
      <alignment horizontal="center" vertical="top"/>
    </xf>
    <xf numFmtId="0" fontId="17" fillId="0" borderId="7" xfId="0" applyFont="1" applyFill="1" applyBorder="1" applyAlignment="1">
      <alignment horizontal="center" vertical="top"/>
    </xf>
    <xf numFmtId="0" fontId="17" fillId="0" borderId="12" xfId="0" applyFont="1" applyFill="1" applyBorder="1" applyAlignment="1">
      <alignment vertical="top"/>
    </xf>
    <xf numFmtId="0" fontId="17" fillId="0" borderId="13" xfId="0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165" fontId="17" fillId="0" borderId="13" xfId="0" applyNumberFormat="1" applyFont="1" applyFill="1" applyBorder="1" applyAlignment="1">
      <alignment horizontal="center" vertical="top"/>
    </xf>
    <xf numFmtId="165" fontId="17" fillId="0" borderId="2" xfId="0" applyNumberFormat="1" applyFont="1" applyFill="1" applyBorder="1" applyAlignment="1">
      <alignment horizontal="center" vertical="top"/>
    </xf>
    <xf numFmtId="41" fontId="17" fillId="0" borderId="13" xfId="1" applyFont="1" applyFill="1" applyBorder="1" applyAlignment="1">
      <alignment horizontal="center" vertical="top"/>
    </xf>
    <xf numFmtId="165" fontId="17" fillId="0" borderId="0" xfId="0" applyNumberFormat="1" applyFont="1" applyFill="1" applyBorder="1" applyAlignment="1">
      <alignment horizontal="center" vertical="top"/>
    </xf>
    <xf numFmtId="165" fontId="17" fillId="0" borderId="7" xfId="0" applyNumberFormat="1" applyFont="1" applyFill="1" applyBorder="1" applyAlignment="1">
      <alignment horizontal="center" vertical="top"/>
    </xf>
    <xf numFmtId="41" fontId="17" fillId="0" borderId="0" xfId="1" applyFont="1" applyFill="1" applyBorder="1" applyAlignment="1">
      <alignment horizontal="center" vertical="top"/>
    </xf>
    <xf numFmtId="0" fontId="17" fillId="0" borderId="3" xfId="0" applyFont="1" applyFill="1" applyBorder="1" applyAlignment="1">
      <alignment vertical="top"/>
    </xf>
    <xf numFmtId="0" fontId="17" fillId="0" borderId="14" xfId="0" applyFont="1" applyFill="1" applyBorder="1" applyAlignment="1">
      <alignment horizontal="center" vertical="top"/>
    </xf>
    <xf numFmtId="0" fontId="17" fillId="0" borderId="15" xfId="0" applyFont="1" applyFill="1" applyBorder="1" applyAlignment="1">
      <alignment vertical="top"/>
    </xf>
    <xf numFmtId="15" fontId="17" fillId="0" borderId="1" xfId="0" applyNumberFormat="1" applyFont="1" applyFill="1" applyBorder="1" applyAlignment="1">
      <alignment horizontal="center" vertical="top"/>
    </xf>
    <xf numFmtId="0" fontId="17" fillId="0" borderId="11" xfId="0" applyFont="1" applyFill="1" applyBorder="1" applyAlignment="1">
      <alignment horizontal="left" vertical="top" wrapText="1"/>
    </xf>
    <xf numFmtId="3" fontId="17" fillId="0" borderId="13" xfId="0" applyNumberFormat="1" applyFont="1" applyFill="1" applyBorder="1" applyAlignment="1">
      <alignment horizontal="right" vertical="top"/>
    </xf>
    <xf numFmtId="0" fontId="17" fillId="0" borderId="1" xfId="0" quotePrefix="1" applyFont="1" applyFill="1" applyBorder="1" applyAlignment="1">
      <alignment horizontal="center" vertical="top" wrapText="1"/>
    </xf>
    <xf numFmtId="41" fontId="17" fillId="0" borderId="1" xfId="0" applyNumberFormat="1" applyFont="1" applyFill="1" applyBorder="1" applyAlignment="1">
      <alignment vertical="top"/>
    </xf>
    <xf numFmtId="0" fontId="17" fillId="0" borderId="0" xfId="0" applyFont="1" applyFill="1" applyBorder="1" applyAlignment="1">
      <alignment vertical="top" wrapText="1"/>
    </xf>
    <xf numFmtId="41" fontId="16" fillId="0" borderId="0" xfId="1" applyFont="1" applyFill="1" applyBorder="1" applyAlignment="1">
      <alignment horizontal="center" vertical="center"/>
    </xf>
    <xf numFmtId="2" fontId="17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/>
    <xf numFmtId="0" fontId="17" fillId="0" borderId="0" xfId="0" applyFont="1" applyFill="1" applyBorder="1" applyAlignment="1">
      <alignment horizontal="center" vertical="center"/>
    </xf>
    <xf numFmtId="9" fontId="17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top"/>
    </xf>
    <xf numFmtId="2" fontId="21" fillId="0" borderId="0" xfId="0" applyNumberFormat="1" applyFont="1" applyFill="1" applyBorder="1" applyAlignment="1">
      <alignment horizontal="center" vertical="center" wrapText="1"/>
    </xf>
    <xf numFmtId="9" fontId="17" fillId="0" borderId="0" xfId="0" applyNumberFormat="1" applyFont="1" applyFill="1" applyBorder="1" applyAlignment="1">
      <alignment horizontal="center" vertical="center"/>
    </xf>
    <xf numFmtId="41" fontId="17" fillId="0" borderId="4" xfId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/>
    </xf>
    <xf numFmtId="3" fontId="17" fillId="0" borderId="6" xfId="0" applyNumberFormat="1" applyFont="1" applyFill="1" applyBorder="1" applyAlignment="1">
      <alignment horizontal="right" vertical="top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41" fontId="2" fillId="0" borderId="2" xfId="0" applyNumberFormat="1" applyFont="1" applyFill="1" applyBorder="1" applyAlignment="1">
      <alignment horizontal="center" vertical="top"/>
    </xf>
    <xf numFmtId="41" fontId="2" fillId="0" borderId="3" xfId="0" applyNumberFormat="1" applyFont="1" applyFill="1" applyBorder="1" applyAlignment="1">
      <alignment horizontal="center" vertical="top"/>
    </xf>
    <xf numFmtId="164" fontId="2" fillId="0" borderId="2" xfId="2" applyNumberFormat="1" applyFont="1" applyBorder="1" applyAlignment="1">
      <alignment horizontal="center" vertical="top"/>
    </xf>
    <xf numFmtId="164" fontId="2" fillId="0" borderId="3" xfId="2" applyNumberFormat="1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/>
    </xf>
    <xf numFmtId="2" fontId="2" fillId="0" borderId="3" xfId="0" applyNumberFormat="1" applyFont="1" applyBorder="1" applyAlignment="1">
      <alignment horizontal="center" vertical="top"/>
    </xf>
    <xf numFmtId="2" fontId="2" fillId="0" borderId="2" xfId="2" applyNumberFormat="1" applyFont="1" applyBorder="1" applyAlignment="1">
      <alignment horizontal="center" vertical="top"/>
    </xf>
    <xf numFmtId="2" fontId="2" fillId="0" borderId="3" xfId="2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2" fontId="17" fillId="0" borderId="2" xfId="0" applyNumberFormat="1" applyFont="1" applyFill="1" applyBorder="1" applyAlignment="1">
      <alignment horizontal="center" vertical="top" wrapText="1"/>
    </xf>
    <xf numFmtId="2" fontId="17" fillId="0" borderId="7" xfId="0" applyNumberFormat="1" applyFont="1" applyFill="1" applyBorder="1" applyAlignment="1">
      <alignment horizontal="center" vertical="top" wrapText="1"/>
    </xf>
    <xf numFmtId="2" fontId="17" fillId="0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/>
    </xf>
    <xf numFmtId="0" fontId="17" fillId="0" borderId="3" xfId="0" applyFont="1" applyFill="1" applyBorder="1" applyAlignment="1">
      <alignment horizontal="center" vertical="top"/>
    </xf>
    <xf numFmtId="0" fontId="17" fillId="0" borderId="2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3" fontId="17" fillId="0" borderId="2" xfId="0" applyNumberFormat="1" applyFont="1" applyFill="1" applyBorder="1" applyAlignment="1">
      <alignment horizontal="left" vertical="top" wrapText="1"/>
    </xf>
    <xf numFmtId="3" fontId="17" fillId="0" borderId="3" xfId="0" applyNumberFormat="1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vertical="top" wrapText="1"/>
    </xf>
    <xf numFmtId="0" fontId="17" fillId="0" borderId="3" xfId="0" applyFont="1" applyFill="1" applyBorder="1" applyAlignment="1">
      <alignment vertical="top" wrapText="1"/>
    </xf>
    <xf numFmtId="3" fontId="17" fillId="0" borderId="2" xfId="0" applyNumberFormat="1" applyFont="1" applyFill="1" applyBorder="1" applyAlignment="1">
      <alignment horizontal="right" vertical="top"/>
    </xf>
    <xf numFmtId="3" fontId="17" fillId="0" borderId="3" xfId="0" applyNumberFormat="1" applyFont="1" applyFill="1" applyBorder="1" applyAlignment="1">
      <alignment horizontal="right" vertical="top"/>
    </xf>
    <xf numFmtId="41" fontId="17" fillId="0" borderId="2" xfId="1" applyFont="1" applyFill="1" applyBorder="1" applyAlignment="1">
      <alignment horizontal="center" vertical="top"/>
    </xf>
    <xf numFmtId="41" fontId="17" fillId="0" borderId="3" xfId="1" applyFont="1" applyFill="1" applyBorder="1" applyAlignment="1">
      <alignment horizontal="center" vertical="top"/>
    </xf>
    <xf numFmtId="0" fontId="17" fillId="0" borderId="7" xfId="0" applyFont="1" applyFill="1" applyBorder="1" applyAlignment="1">
      <alignment horizontal="center" vertical="top"/>
    </xf>
    <xf numFmtId="0" fontId="17" fillId="0" borderId="7" xfId="0" applyFont="1" applyFill="1" applyBorder="1" applyAlignment="1">
      <alignment horizontal="left" vertical="top" wrapText="1"/>
    </xf>
    <xf numFmtId="41" fontId="17" fillId="0" borderId="7" xfId="1" applyFont="1" applyFill="1" applyBorder="1" applyAlignment="1">
      <alignment horizontal="center" vertical="top"/>
    </xf>
    <xf numFmtId="41" fontId="17" fillId="0" borderId="2" xfId="1" applyFont="1" applyFill="1" applyBorder="1" applyAlignment="1">
      <alignment horizontal="left" vertical="top" wrapText="1"/>
    </xf>
    <xf numFmtId="41" fontId="17" fillId="0" borderId="3" xfId="1" applyFont="1" applyFill="1" applyBorder="1" applyAlignment="1">
      <alignment horizontal="left" vertical="top" wrapText="1"/>
    </xf>
    <xf numFmtId="41" fontId="17" fillId="0" borderId="2" xfId="1" applyFont="1" applyFill="1" applyBorder="1" applyAlignment="1">
      <alignment horizontal="left" vertical="top"/>
    </xf>
    <xf numFmtId="41" fontId="17" fillId="0" borderId="3" xfId="1" applyFont="1" applyFill="1" applyBorder="1" applyAlignment="1">
      <alignment horizontal="left" vertical="top"/>
    </xf>
    <xf numFmtId="41" fontId="17" fillId="0" borderId="2" xfId="1" applyFont="1" applyFill="1" applyBorder="1" applyAlignment="1">
      <alignment horizontal="right" vertical="top"/>
    </xf>
    <xf numFmtId="41" fontId="17" fillId="0" borderId="3" xfId="1" applyFont="1" applyFill="1" applyBorder="1" applyAlignment="1">
      <alignment horizontal="right" vertical="top"/>
    </xf>
    <xf numFmtId="0" fontId="17" fillId="0" borderId="11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top" wrapText="1"/>
    </xf>
    <xf numFmtId="2" fontId="17" fillId="0" borderId="11" xfId="0" applyNumberFormat="1" applyFont="1" applyFill="1" applyBorder="1" applyAlignment="1">
      <alignment horizontal="center" vertical="top" wrapText="1"/>
    </xf>
    <xf numFmtId="2" fontId="17" fillId="0" borderId="10" xfId="0" applyNumberFormat="1" applyFont="1" applyFill="1" applyBorder="1" applyAlignment="1">
      <alignment horizontal="center" vertical="top" wrapText="1"/>
    </xf>
    <xf numFmtId="2" fontId="17" fillId="0" borderId="8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3" fontId="17" fillId="0" borderId="7" xfId="0" applyNumberFormat="1" applyFont="1" applyFill="1" applyBorder="1" applyAlignment="1">
      <alignment horizontal="right" vertical="top"/>
    </xf>
    <xf numFmtId="41" fontId="17" fillId="0" borderId="7" xfId="1" applyFont="1" applyFill="1" applyBorder="1" applyAlignment="1">
      <alignment horizontal="right" vertical="top"/>
    </xf>
    <xf numFmtId="2" fontId="17" fillId="0" borderId="4" xfId="0" applyNumberFormat="1" applyFont="1" applyFill="1" applyBorder="1" applyAlignment="1">
      <alignment horizontal="center" vertical="top" wrapText="1"/>
    </xf>
    <xf numFmtId="2" fontId="17" fillId="0" borderId="1" xfId="0" applyNumberFormat="1" applyFont="1" applyFill="1" applyBorder="1" applyAlignment="1">
      <alignment horizontal="center" vertical="top" wrapText="1"/>
    </xf>
    <xf numFmtId="41" fontId="17" fillId="0" borderId="4" xfId="1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center" vertical="top"/>
    </xf>
    <xf numFmtId="0" fontId="17" fillId="0" borderId="4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 wrapText="1"/>
    </xf>
    <xf numFmtId="3" fontId="17" fillId="0" borderId="1" xfId="0" applyNumberFormat="1" applyFont="1" applyFill="1" applyBorder="1" applyAlignment="1">
      <alignment horizontal="right" vertical="top"/>
    </xf>
    <xf numFmtId="41" fontId="17" fillId="0" borderId="1" xfId="1" applyFont="1" applyFill="1" applyBorder="1" applyAlignment="1">
      <alignment horizontal="center" vertical="top"/>
    </xf>
    <xf numFmtId="0" fontId="17" fillId="0" borderId="2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17" fillId="0" borderId="2" xfId="0" quotePrefix="1" applyNumberFormat="1" applyFont="1" applyFill="1" applyBorder="1" applyAlignment="1">
      <alignment horizontal="center" vertical="top" wrapText="1"/>
    </xf>
    <xf numFmtId="0" fontId="17" fillId="0" borderId="7" xfId="0" quotePrefix="1" applyNumberFormat="1" applyFont="1" applyFill="1" applyBorder="1" applyAlignment="1">
      <alignment horizontal="center" vertical="top" wrapText="1"/>
    </xf>
    <xf numFmtId="0" fontId="17" fillId="0" borderId="3" xfId="0" quotePrefix="1" applyNumberFormat="1" applyFont="1" applyFill="1" applyBorder="1" applyAlignment="1">
      <alignment horizontal="center" vertical="top" wrapText="1"/>
    </xf>
    <xf numFmtId="41" fontId="17" fillId="0" borderId="11" xfId="1" applyFont="1" applyFill="1" applyBorder="1" applyAlignment="1">
      <alignment horizontal="center" vertical="top" wrapText="1"/>
    </xf>
    <xf numFmtId="41" fontId="17" fillId="0" borderId="10" xfId="1" applyFont="1" applyFill="1" applyBorder="1" applyAlignment="1">
      <alignment horizontal="center" vertical="top" wrapText="1"/>
    </xf>
    <xf numFmtId="41" fontId="17" fillId="0" borderId="8" xfId="1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vertical="top" wrapText="1"/>
    </xf>
    <xf numFmtId="41" fontId="17" fillId="0" borderId="2" xfId="1" applyFont="1" applyFill="1" applyBorder="1" applyAlignment="1">
      <alignment horizontal="center" vertical="top" wrapText="1"/>
    </xf>
    <xf numFmtId="41" fontId="17" fillId="0" borderId="7" xfId="1" applyFont="1" applyFill="1" applyBorder="1" applyAlignment="1">
      <alignment horizontal="center" vertical="top" wrapText="1"/>
    </xf>
    <xf numFmtId="41" fontId="17" fillId="0" borderId="3" xfId="1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17" fillId="0" borderId="7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1" fontId="3" fillId="4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43" fontId="3" fillId="4" borderId="1" xfId="0" applyNumberFormat="1" applyFont="1" applyFill="1" applyBorder="1" applyAlignment="1">
      <alignment horizontal="left" vertical="center"/>
    </xf>
  </cellXfs>
  <cellStyles count="4">
    <cellStyle name="Comma" xfId="2" builtinId="3"/>
    <cellStyle name="Comma [0]" xfId="1" builtinId="6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67"/>
  <sheetViews>
    <sheetView tabSelected="1" view="pageBreakPreview" zoomScaleNormal="80" zoomScaleSheetLayoutView="100" workbookViewId="0">
      <pane xSplit="3" ySplit="9" topLeftCell="D52" activePane="bottomRight" state="frozen"/>
      <selection pane="topRight" activeCell="D1" sqref="D1"/>
      <selection pane="bottomLeft" activeCell="A10" sqref="A10"/>
      <selection pane="bottomRight" activeCell="J59" sqref="J59"/>
    </sheetView>
  </sheetViews>
  <sheetFormatPr defaultRowHeight="12" x14ac:dyDescent="0.25"/>
  <cols>
    <col min="1" max="1" width="4.140625" style="33" bestFit="1" customWidth="1"/>
    <col min="2" max="2" width="23.7109375" style="35" customWidth="1"/>
    <col min="3" max="3" width="12" style="51" customWidth="1"/>
    <col min="4" max="4" width="11.85546875" style="33" customWidth="1"/>
    <col min="5" max="5" width="11.5703125" style="33" customWidth="1"/>
    <col min="6" max="6" width="12" style="33" customWidth="1"/>
    <col min="7" max="7" width="12.85546875" style="33" customWidth="1"/>
    <col min="8" max="8" width="10.42578125" style="33" customWidth="1"/>
    <col min="9" max="9" width="10.7109375" style="33" customWidth="1"/>
    <col min="10" max="10" width="11.7109375" style="33" customWidth="1"/>
    <col min="11" max="11" width="6.28515625" style="33" customWidth="1"/>
    <col min="12" max="12" width="8.7109375" style="33" customWidth="1"/>
    <col min="13" max="13" width="8.28515625" style="33" customWidth="1"/>
    <col min="14" max="14" width="9.28515625" style="33" customWidth="1"/>
    <col min="15" max="15" width="12.140625" style="33" customWidth="1"/>
    <col min="16" max="16" width="10.28515625" style="33" customWidth="1"/>
    <col min="17" max="17" width="9.85546875" style="33" customWidth="1"/>
    <col min="18" max="18" width="10.140625" style="33" customWidth="1"/>
    <col min="19" max="20" width="9.140625" style="33"/>
    <col min="21" max="21" width="13.5703125" style="33" customWidth="1"/>
    <col min="22" max="16384" width="9.140625" style="33"/>
  </cols>
  <sheetData>
    <row r="1" spans="1:21" ht="15" customHeight="1" x14ac:dyDescent="0.25">
      <c r="A1" s="187" t="s">
        <v>61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21" ht="15" customHeight="1" x14ac:dyDescent="0.25">
      <c r="A2" s="187" t="s">
        <v>62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</row>
    <row r="3" spans="1:21" ht="15" customHeight="1" x14ac:dyDescent="0.25">
      <c r="A3" s="58"/>
      <c r="B3" s="58"/>
      <c r="C3" s="34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1" x14ac:dyDescent="0.25">
      <c r="B4" s="35" t="s">
        <v>63</v>
      </c>
      <c r="C4" s="36" t="s">
        <v>65</v>
      </c>
    </row>
    <row r="5" spans="1:21" x14ac:dyDescent="0.25">
      <c r="B5" s="35" t="s">
        <v>64</v>
      </c>
      <c r="C5" s="36" t="s">
        <v>121</v>
      </c>
    </row>
    <row r="7" spans="1:21" s="37" customFormat="1" ht="31.5" customHeight="1" x14ac:dyDescent="0.25">
      <c r="A7" s="188" t="s">
        <v>41</v>
      </c>
      <c r="B7" s="189" t="s">
        <v>42</v>
      </c>
      <c r="C7" s="188" t="s">
        <v>43</v>
      </c>
      <c r="D7" s="188"/>
      <c r="E7" s="188" t="s">
        <v>44</v>
      </c>
      <c r="F7" s="188" t="s">
        <v>56</v>
      </c>
      <c r="G7" s="188" t="s">
        <v>57</v>
      </c>
      <c r="H7" s="188" t="s">
        <v>47</v>
      </c>
      <c r="I7" s="188"/>
      <c r="J7" s="188" t="s">
        <v>48</v>
      </c>
      <c r="K7" s="188"/>
      <c r="L7" s="59" t="s">
        <v>50</v>
      </c>
      <c r="M7" s="188" t="s">
        <v>51</v>
      </c>
      <c r="N7" s="188"/>
      <c r="O7" s="188"/>
      <c r="P7" s="188" t="s">
        <v>54</v>
      </c>
      <c r="Q7" s="188"/>
      <c r="R7" s="188"/>
      <c r="S7" s="188" t="s">
        <v>53</v>
      </c>
      <c r="T7" s="188"/>
      <c r="U7" s="188" t="s">
        <v>55</v>
      </c>
    </row>
    <row r="8" spans="1:21" s="37" customFormat="1" ht="36" x14ac:dyDescent="0.25">
      <c r="A8" s="188"/>
      <c r="B8" s="189"/>
      <c r="C8" s="59" t="s">
        <v>59</v>
      </c>
      <c r="D8" s="59" t="s">
        <v>60</v>
      </c>
      <c r="E8" s="188"/>
      <c r="F8" s="188"/>
      <c r="G8" s="188"/>
      <c r="H8" s="59" t="s">
        <v>45</v>
      </c>
      <c r="I8" s="59" t="s">
        <v>46</v>
      </c>
      <c r="J8" s="59" t="s">
        <v>52</v>
      </c>
      <c r="K8" s="59" t="s">
        <v>49</v>
      </c>
      <c r="L8" s="59" t="s">
        <v>49</v>
      </c>
      <c r="M8" s="59" t="s">
        <v>41</v>
      </c>
      <c r="N8" s="59" t="s">
        <v>58</v>
      </c>
      <c r="O8" s="59" t="s">
        <v>52</v>
      </c>
      <c r="P8" s="59" t="s">
        <v>41</v>
      </c>
      <c r="Q8" s="59" t="s">
        <v>58</v>
      </c>
      <c r="R8" s="59" t="s">
        <v>52</v>
      </c>
      <c r="S8" s="59" t="s">
        <v>41</v>
      </c>
      <c r="T8" s="59" t="s">
        <v>58</v>
      </c>
      <c r="U8" s="188"/>
    </row>
    <row r="9" spans="1:21" s="40" customFormat="1" ht="11.25" x14ac:dyDescent="0.25">
      <c r="A9" s="38">
        <v>1</v>
      </c>
      <c r="B9" s="39">
        <v>2</v>
      </c>
      <c r="C9" s="38">
        <v>3</v>
      </c>
      <c r="D9" s="38">
        <v>4</v>
      </c>
      <c r="E9" s="38">
        <v>5</v>
      </c>
      <c r="F9" s="38">
        <v>6</v>
      </c>
      <c r="G9" s="38">
        <v>7</v>
      </c>
      <c r="H9" s="38">
        <v>8</v>
      </c>
      <c r="I9" s="38">
        <v>9</v>
      </c>
      <c r="J9" s="38">
        <v>10</v>
      </c>
      <c r="K9" s="38">
        <v>11</v>
      </c>
      <c r="L9" s="38">
        <v>12</v>
      </c>
      <c r="M9" s="38">
        <v>13</v>
      </c>
      <c r="N9" s="38">
        <v>14</v>
      </c>
      <c r="O9" s="38">
        <v>15</v>
      </c>
      <c r="P9" s="38">
        <v>16</v>
      </c>
      <c r="Q9" s="38">
        <v>17</v>
      </c>
      <c r="R9" s="38">
        <v>18</v>
      </c>
      <c r="S9" s="38">
        <v>19</v>
      </c>
      <c r="T9" s="38">
        <v>20</v>
      </c>
      <c r="U9" s="38">
        <v>21</v>
      </c>
    </row>
    <row r="10" spans="1:21" s="44" customFormat="1" x14ac:dyDescent="0.25">
      <c r="A10" s="41"/>
      <c r="B10" s="42"/>
      <c r="C10" s="43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</row>
    <row r="11" spans="1:21" s="8" customFormat="1" x14ac:dyDescent="0.25">
      <c r="A11" s="17"/>
      <c r="B11" s="45"/>
      <c r="C11" s="56">
        <f>C12+C22+C31+C33+C35+C44+C49+C53</f>
        <v>4405000000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s="8" customFormat="1" ht="24" x14ac:dyDescent="0.25">
      <c r="A12" s="23" t="s">
        <v>95</v>
      </c>
      <c r="B12" s="18" t="s">
        <v>0</v>
      </c>
      <c r="C12" s="19">
        <f>SUM(C13:C21)</f>
        <v>2000000000</v>
      </c>
      <c r="D12" s="23"/>
      <c r="E12" s="23"/>
      <c r="F12" s="23"/>
      <c r="G12" s="19">
        <f>SUM(G13:G21)</f>
        <v>12027000</v>
      </c>
      <c r="H12" s="23"/>
      <c r="I12" s="23"/>
      <c r="J12" s="19">
        <f>SUM(J13:J21)</f>
        <v>210273175</v>
      </c>
      <c r="K12" s="31">
        <f>((J12+G12)/C12)*100</f>
        <v>11.115008749999999</v>
      </c>
      <c r="L12" s="23"/>
      <c r="M12" s="23"/>
      <c r="N12" s="23"/>
      <c r="O12" s="23"/>
      <c r="P12" s="23"/>
      <c r="Q12" s="23"/>
      <c r="R12" s="23"/>
      <c r="S12" s="23"/>
      <c r="T12" s="23"/>
      <c r="U12" s="23"/>
    </row>
    <row r="13" spans="1:21" s="8" customFormat="1" ht="48" x14ac:dyDescent="0.25">
      <c r="A13" s="22">
        <v>1</v>
      </c>
      <c r="B13" s="45" t="s">
        <v>7</v>
      </c>
      <c r="C13" s="9">
        <v>325000000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s="8" customFormat="1" ht="36" x14ac:dyDescent="0.25">
      <c r="A14" s="22">
        <v>2</v>
      </c>
      <c r="B14" s="45" t="s">
        <v>24</v>
      </c>
      <c r="C14" s="10">
        <v>200000000</v>
      </c>
      <c r="D14" s="17"/>
      <c r="E14" s="17"/>
      <c r="F14" s="17"/>
      <c r="G14" s="17"/>
      <c r="H14" s="17"/>
      <c r="I14" s="17"/>
      <c r="J14" s="25">
        <v>40075000</v>
      </c>
      <c r="K14" s="27">
        <f>(J14/C14)*100</f>
        <v>20.037500000000001</v>
      </c>
      <c r="L14" s="27">
        <f>(3/8)*100</f>
        <v>37.5</v>
      </c>
      <c r="M14" s="17"/>
      <c r="N14" s="17"/>
      <c r="O14" s="17"/>
      <c r="P14" s="17"/>
      <c r="Q14" s="17"/>
      <c r="R14" s="17"/>
      <c r="S14" s="17"/>
      <c r="T14" s="17"/>
      <c r="U14" s="17"/>
    </row>
    <row r="15" spans="1:21" s="8" customFormat="1" ht="36" x14ac:dyDescent="0.25">
      <c r="A15" s="22">
        <v>3</v>
      </c>
      <c r="B15" s="45" t="s">
        <v>8</v>
      </c>
      <c r="C15" s="11">
        <v>85000000</v>
      </c>
      <c r="D15" s="17"/>
      <c r="E15" s="17"/>
      <c r="F15" s="17"/>
      <c r="G15" s="17"/>
      <c r="H15" s="17"/>
      <c r="I15" s="17"/>
      <c r="J15" s="25">
        <v>26981975</v>
      </c>
      <c r="K15" s="27">
        <f>(J15/C15)*100</f>
        <v>31.743500000000001</v>
      </c>
      <c r="L15" s="27">
        <v>40</v>
      </c>
      <c r="M15" s="17"/>
      <c r="N15" s="17"/>
      <c r="O15" s="17"/>
      <c r="P15" s="17"/>
      <c r="Q15" s="17"/>
      <c r="R15" s="17"/>
      <c r="S15" s="17"/>
      <c r="T15" s="17"/>
      <c r="U15" s="17"/>
    </row>
    <row r="16" spans="1:21" s="8" customFormat="1" ht="24" x14ac:dyDescent="0.25">
      <c r="A16" s="22">
        <v>4</v>
      </c>
      <c r="B16" s="45" t="s">
        <v>9</v>
      </c>
      <c r="C16" s="10">
        <v>1000000000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s="8" customFormat="1" ht="36" x14ac:dyDescent="0.25">
      <c r="A17" s="22">
        <v>5</v>
      </c>
      <c r="B17" s="45" t="s">
        <v>10</v>
      </c>
      <c r="C17" s="10">
        <v>50000000</v>
      </c>
      <c r="D17" s="17"/>
      <c r="E17" s="17"/>
      <c r="F17" s="17"/>
      <c r="G17" s="17"/>
      <c r="H17" s="17"/>
      <c r="I17" s="17"/>
      <c r="J17" s="25">
        <v>46325000</v>
      </c>
      <c r="K17" s="22">
        <f>(J17/C17)*100</f>
        <v>92.65</v>
      </c>
      <c r="L17" s="27">
        <v>90</v>
      </c>
      <c r="M17" s="17"/>
      <c r="N17" s="17"/>
      <c r="O17" s="17"/>
      <c r="P17" s="17"/>
      <c r="Q17" s="17"/>
      <c r="R17" s="17"/>
      <c r="S17" s="17"/>
      <c r="T17" s="17"/>
      <c r="U17" s="17"/>
    </row>
    <row r="18" spans="1:21" s="8" customFormat="1" ht="36" x14ac:dyDescent="0.25">
      <c r="A18" s="22">
        <v>6</v>
      </c>
      <c r="B18" s="45" t="s">
        <v>26</v>
      </c>
      <c r="C18" s="11">
        <v>100000000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s="8" customFormat="1" ht="36" x14ac:dyDescent="0.25">
      <c r="A19" s="22">
        <v>7</v>
      </c>
      <c r="B19" s="45" t="s">
        <v>25</v>
      </c>
      <c r="C19" s="11">
        <v>100000000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s="8" customFormat="1" ht="36" x14ac:dyDescent="0.25">
      <c r="A20" s="22">
        <v>8</v>
      </c>
      <c r="B20" s="45" t="s">
        <v>27</v>
      </c>
      <c r="C20" s="11">
        <v>40000000</v>
      </c>
      <c r="D20" s="17"/>
      <c r="E20" s="17" t="s">
        <v>117</v>
      </c>
      <c r="F20" s="46" t="s">
        <v>118</v>
      </c>
      <c r="G20" s="25">
        <v>12027000</v>
      </c>
      <c r="H20" s="57" t="s">
        <v>120</v>
      </c>
      <c r="I20" s="57" t="s">
        <v>119</v>
      </c>
      <c r="J20" s="25">
        <v>27802200</v>
      </c>
      <c r="K20" s="26">
        <f>((G20+J20)/C20)*100</f>
        <v>99.573000000000008</v>
      </c>
      <c r="L20" s="22">
        <v>100</v>
      </c>
      <c r="M20" s="17"/>
      <c r="N20" s="17"/>
      <c r="O20" s="17"/>
      <c r="P20" s="17"/>
      <c r="Q20" s="17"/>
      <c r="R20" s="17"/>
      <c r="S20" s="17"/>
      <c r="T20" s="17"/>
      <c r="U20" s="17"/>
    </row>
    <row r="21" spans="1:21" s="8" customFormat="1" ht="24" x14ac:dyDescent="0.25">
      <c r="A21" s="22">
        <v>9</v>
      </c>
      <c r="B21" s="45" t="s">
        <v>29</v>
      </c>
      <c r="C21" s="11">
        <v>100000000</v>
      </c>
      <c r="D21" s="17"/>
      <c r="E21" s="17"/>
      <c r="F21" s="17"/>
      <c r="G21" s="17"/>
      <c r="H21" s="17"/>
      <c r="I21" s="17"/>
      <c r="J21" s="25">
        <v>69089000</v>
      </c>
      <c r="K21" s="26">
        <f t="shared" ref="K21" si="0">(J21/C21)*100</f>
        <v>69.088999999999999</v>
      </c>
      <c r="L21" s="27">
        <f>(2/3)*100</f>
        <v>66.666666666666657</v>
      </c>
      <c r="M21" s="17"/>
      <c r="N21" s="17"/>
      <c r="O21" s="17"/>
      <c r="P21" s="17"/>
      <c r="Q21" s="17"/>
      <c r="R21" s="17"/>
      <c r="S21" s="17"/>
      <c r="T21" s="17"/>
      <c r="U21" s="17"/>
    </row>
    <row r="22" spans="1:21" s="30" customFormat="1" ht="24" x14ac:dyDescent="0.25">
      <c r="A22" s="29" t="s">
        <v>96</v>
      </c>
      <c r="B22" s="18" t="s">
        <v>1</v>
      </c>
      <c r="C22" s="24">
        <f>SUM(C23:C30)</f>
        <v>975000000</v>
      </c>
      <c r="D22" s="29"/>
      <c r="E22" s="29"/>
      <c r="F22" s="29"/>
      <c r="G22" s="24">
        <f>SUM(G23:G30)</f>
        <v>121984000</v>
      </c>
      <c r="H22" s="29"/>
      <c r="I22" s="29"/>
      <c r="J22" s="24">
        <f>SUM(J23:J30)</f>
        <v>251104500</v>
      </c>
      <c r="K22" s="31">
        <f>((J22+G22)/C22)*100</f>
        <v>38.265487179487181</v>
      </c>
      <c r="L22" s="29"/>
      <c r="M22" s="29"/>
      <c r="N22" s="29"/>
      <c r="O22" s="29"/>
      <c r="P22" s="29"/>
      <c r="Q22" s="29"/>
      <c r="R22" s="29"/>
      <c r="S22" s="29"/>
      <c r="T22" s="29"/>
      <c r="U22" s="29"/>
    </row>
    <row r="23" spans="1:21" s="8" customFormat="1" ht="36" x14ac:dyDescent="0.25">
      <c r="A23" s="22">
        <v>1</v>
      </c>
      <c r="B23" s="7" t="s">
        <v>15</v>
      </c>
      <c r="C23" s="11">
        <v>100000000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s="8" customFormat="1" ht="24" x14ac:dyDescent="0.25">
      <c r="A24" s="22">
        <v>2</v>
      </c>
      <c r="B24" s="7" t="s">
        <v>11</v>
      </c>
      <c r="C24" s="11">
        <v>150000000</v>
      </c>
      <c r="D24" s="17"/>
      <c r="E24" s="17"/>
      <c r="F24" s="17"/>
      <c r="G24" s="17"/>
      <c r="H24" s="17"/>
      <c r="I24" s="17"/>
      <c r="J24" s="25">
        <v>50260000</v>
      </c>
      <c r="K24" s="26">
        <f t="shared" ref="K24" si="1">(J24/C24)*100</f>
        <v>33.506666666666668</v>
      </c>
      <c r="L24" s="22">
        <v>30</v>
      </c>
      <c r="M24" s="17"/>
      <c r="N24" s="17"/>
      <c r="O24" s="17"/>
      <c r="P24" s="17"/>
      <c r="Q24" s="17"/>
      <c r="R24" s="17"/>
      <c r="S24" s="17"/>
      <c r="T24" s="17"/>
      <c r="U24" s="17"/>
    </row>
    <row r="25" spans="1:21" s="8" customFormat="1" ht="24" x14ac:dyDescent="0.25">
      <c r="A25" s="22">
        <v>3</v>
      </c>
      <c r="B25" s="7" t="s">
        <v>12</v>
      </c>
      <c r="C25" s="11">
        <v>75000000</v>
      </c>
      <c r="D25" s="17"/>
      <c r="E25" s="17"/>
      <c r="F25" s="17"/>
      <c r="G25" s="17"/>
      <c r="H25" s="17"/>
      <c r="I25" s="17"/>
      <c r="J25" s="17"/>
      <c r="K25" s="26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s="8" customFormat="1" ht="36" x14ac:dyDescent="0.25">
      <c r="A26" s="22">
        <v>4</v>
      </c>
      <c r="B26" s="7" t="s">
        <v>13</v>
      </c>
      <c r="C26" s="11">
        <v>150000000</v>
      </c>
      <c r="D26" s="17"/>
      <c r="E26" s="17"/>
      <c r="F26" s="17"/>
      <c r="G26" s="17"/>
      <c r="H26" s="17"/>
      <c r="I26" s="17"/>
      <c r="J26" s="25">
        <f>25854500+7890000</f>
        <v>33744500</v>
      </c>
      <c r="K26" s="26">
        <f>(J26/C26)*100</f>
        <v>22.496333333333332</v>
      </c>
      <c r="L26" s="27">
        <v>5</v>
      </c>
      <c r="M26" s="17"/>
      <c r="N26" s="17"/>
      <c r="O26" s="17"/>
      <c r="P26" s="17"/>
      <c r="Q26" s="17"/>
      <c r="R26" s="17"/>
      <c r="S26" s="17"/>
      <c r="T26" s="17"/>
      <c r="U26" s="17"/>
    </row>
    <row r="27" spans="1:21" s="8" customFormat="1" ht="48" x14ac:dyDescent="0.25">
      <c r="A27" s="22">
        <v>5</v>
      </c>
      <c r="B27" s="7" t="s">
        <v>103</v>
      </c>
      <c r="C27" s="11">
        <v>200000000</v>
      </c>
      <c r="D27" s="17"/>
      <c r="E27" s="17"/>
      <c r="F27" s="17"/>
      <c r="G27" s="17"/>
      <c r="H27" s="17"/>
      <c r="I27" s="17"/>
      <c r="J27" s="25">
        <f>5137500+3912500+81550000</f>
        <v>90600000</v>
      </c>
      <c r="K27" s="27">
        <f>(J27/C27)*100</f>
        <v>45.300000000000004</v>
      </c>
      <c r="L27" s="27">
        <f>(2/5)*100</f>
        <v>40</v>
      </c>
      <c r="M27" s="17"/>
      <c r="N27" s="17"/>
      <c r="O27" s="17"/>
      <c r="P27" s="17"/>
      <c r="Q27" s="17"/>
      <c r="R27" s="17"/>
      <c r="S27" s="17"/>
      <c r="T27" s="17"/>
      <c r="U27" s="17"/>
    </row>
    <row r="28" spans="1:21" s="8" customFormat="1" ht="36" x14ac:dyDescent="0.25">
      <c r="A28" s="22">
        <v>6</v>
      </c>
      <c r="B28" s="7" t="s">
        <v>28</v>
      </c>
      <c r="C28" s="11">
        <v>200000000</v>
      </c>
      <c r="D28" s="17"/>
      <c r="E28" s="45" t="s">
        <v>116</v>
      </c>
      <c r="F28" s="46" t="s">
        <v>110</v>
      </c>
      <c r="G28" s="25">
        <v>91450000</v>
      </c>
      <c r="H28" s="22" t="s">
        <v>111</v>
      </c>
      <c r="I28" s="47" t="s">
        <v>112</v>
      </c>
      <c r="J28" s="196">
        <f>41435000+35065000</f>
        <v>76500000</v>
      </c>
      <c r="K28" s="198">
        <f>((J28+G28+G29)/C28)*100</f>
        <v>99.24199999999999</v>
      </c>
      <c r="L28" s="198">
        <v>100</v>
      </c>
      <c r="M28" s="17"/>
      <c r="N28" s="17"/>
      <c r="O28" s="17"/>
      <c r="P28" s="17"/>
      <c r="Q28" s="17"/>
      <c r="R28" s="17"/>
      <c r="S28" s="17"/>
      <c r="T28" s="17"/>
      <c r="U28" s="17"/>
    </row>
    <row r="29" spans="1:21" s="8" customFormat="1" ht="36" x14ac:dyDescent="0.25">
      <c r="A29" s="22"/>
      <c r="B29" s="7"/>
      <c r="C29" s="11"/>
      <c r="D29" s="17"/>
      <c r="E29" s="45" t="s">
        <v>115</v>
      </c>
      <c r="F29" s="46" t="s">
        <v>113</v>
      </c>
      <c r="G29" s="25">
        <v>30534000</v>
      </c>
      <c r="H29" s="48" t="s">
        <v>111</v>
      </c>
      <c r="I29" s="47" t="s">
        <v>114</v>
      </c>
      <c r="J29" s="197"/>
      <c r="K29" s="199"/>
      <c r="L29" s="199"/>
      <c r="M29" s="17"/>
      <c r="N29" s="17"/>
      <c r="O29" s="17"/>
      <c r="P29" s="17"/>
      <c r="Q29" s="17"/>
      <c r="R29" s="17"/>
      <c r="S29" s="17"/>
      <c r="T29" s="17"/>
      <c r="U29" s="17"/>
    </row>
    <row r="30" spans="1:21" s="8" customFormat="1" ht="24" x14ac:dyDescent="0.25">
      <c r="A30" s="22">
        <v>7</v>
      </c>
      <c r="B30" s="7" t="s">
        <v>30</v>
      </c>
      <c r="C30" s="11">
        <v>100000000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1:21" s="30" customFormat="1" ht="36" x14ac:dyDescent="0.25">
      <c r="A31" s="29" t="s">
        <v>97</v>
      </c>
      <c r="B31" s="18" t="s">
        <v>2</v>
      </c>
      <c r="C31" s="24">
        <f>SUM(C32:C32)</f>
        <v>50000000</v>
      </c>
      <c r="D31" s="29"/>
      <c r="E31" s="29"/>
      <c r="F31" s="29"/>
      <c r="G31" s="24">
        <f>SUM(G32:G32)</f>
        <v>0</v>
      </c>
      <c r="H31" s="29"/>
      <c r="I31" s="29"/>
      <c r="J31" s="24">
        <f>SUM(J32:J32)</f>
        <v>9525000</v>
      </c>
      <c r="K31" s="31">
        <f>((J31+G31)/C31)*100</f>
        <v>19.05</v>
      </c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spans="1:21" s="8" customFormat="1" ht="24" x14ac:dyDescent="0.25">
      <c r="A32" s="22">
        <v>1</v>
      </c>
      <c r="B32" s="7" t="s">
        <v>33</v>
      </c>
      <c r="C32" s="11">
        <v>50000000</v>
      </c>
      <c r="D32" s="17"/>
      <c r="E32" s="17"/>
      <c r="F32" s="17"/>
      <c r="G32" s="17"/>
      <c r="H32" s="17"/>
      <c r="I32" s="17"/>
      <c r="J32" s="25">
        <v>9525000</v>
      </c>
      <c r="K32" s="22">
        <f>(J32/C32)*100</f>
        <v>19.05</v>
      </c>
      <c r="L32" s="27">
        <v>15</v>
      </c>
      <c r="M32" s="17"/>
      <c r="N32" s="17"/>
      <c r="O32" s="17"/>
      <c r="P32" s="17"/>
      <c r="Q32" s="17"/>
      <c r="R32" s="17"/>
      <c r="S32" s="17"/>
      <c r="T32" s="17"/>
      <c r="U32" s="17"/>
    </row>
    <row r="33" spans="1:21" s="8" customFormat="1" ht="36" x14ac:dyDescent="0.25">
      <c r="A33" s="23" t="s">
        <v>98</v>
      </c>
      <c r="B33" s="18" t="s">
        <v>3</v>
      </c>
      <c r="C33" s="24">
        <f>SUM(C34:C34)</f>
        <v>100000000</v>
      </c>
      <c r="D33" s="23"/>
      <c r="E33" s="23"/>
      <c r="F33" s="23"/>
      <c r="G33" s="24">
        <f>SUM(G34:G34)</f>
        <v>0</v>
      </c>
      <c r="H33" s="23"/>
      <c r="I33" s="23"/>
      <c r="J33" s="24">
        <f>SUM(J34:J34)</f>
        <v>0</v>
      </c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</row>
    <row r="34" spans="1:21" s="8" customFormat="1" ht="24" x14ac:dyDescent="0.25">
      <c r="A34" s="22">
        <v>1</v>
      </c>
      <c r="B34" s="7" t="s">
        <v>19</v>
      </c>
      <c r="C34" s="11">
        <v>100000000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1:21" s="8" customFormat="1" ht="24" x14ac:dyDescent="0.25">
      <c r="A35" s="23" t="s">
        <v>99</v>
      </c>
      <c r="B35" s="18" t="s">
        <v>4</v>
      </c>
      <c r="C35" s="24">
        <f>SUM(C36:C43)</f>
        <v>780000000</v>
      </c>
      <c r="D35" s="23"/>
      <c r="E35" s="23"/>
      <c r="F35" s="23"/>
      <c r="G35" s="24">
        <f>SUM(G36:G43)</f>
        <v>143495000</v>
      </c>
      <c r="H35" s="23"/>
      <c r="I35" s="23"/>
      <c r="J35" s="24">
        <f>SUM(J36:J43)</f>
        <v>126282500</v>
      </c>
      <c r="K35" s="31">
        <f>((J35+G35)/C35)*100</f>
        <v>34.586858974358975</v>
      </c>
      <c r="L35" s="23"/>
      <c r="M35" s="23"/>
      <c r="N35" s="23"/>
      <c r="O35" s="23"/>
      <c r="P35" s="23"/>
      <c r="Q35" s="23"/>
      <c r="R35" s="23"/>
      <c r="S35" s="23"/>
      <c r="T35" s="23"/>
      <c r="U35" s="23"/>
    </row>
    <row r="36" spans="1:21" s="8" customFormat="1" ht="36" x14ac:dyDescent="0.25">
      <c r="A36" s="22">
        <v>1</v>
      </c>
      <c r="B36" s="7" t="s">
        <v>36</v>
      </c>
      <c r="C36" s="11">
        <v>120000000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1:21" s="8" customFormat="1" ht="48" x14ac:dyDescent="0.25">
      <c r="A37" s="22">
        <v>2</v>
      </c>
      <c r="B37" s="7" t="s">
        <v>16</v>
      </c>
      <c r="C37" s="11">
        <v>60000000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1:21" s="8" customFormat="1" ht="48" x14ac:dyDescent="0.25">
      <c r="A38" s="22">
        <v>3</v>
      </c>
      <c r="B38" s="7" t="s">
        <v>22</v>
      </c>
      <c r="C38" s="11">
        <v>75000000</v>
      </c>
      <c r="D38" s="17"/>
      <c r="E38" s="17"/>
      <c r="F38" s="17"/>
      <c r="G38" s="17"/>
      <c r="H38" s="17"/>
      <c r="I38" s="17"/>
      <c r="J38" s="25">
        <v>21367500</v>
      </c>
      <c r="K38" s="27">
        <f>(J38/C38)*100</f>
        <v>28.49</v>
      </c>
      <c r="L38" s="27">
        <v>100</v>
      </c>
      <c r="M38" s="17"/>
      <c r="N38" s="17"/>
      <c r="O38" s="17"/>
      <c r="P38" s="17"/>
      <c r="Q38" s="17"/>
      <c r="R38" s="17"/>
      <c r="S38" s="17"/>
      <c r="T38" s="17"/>
      <c r="U38" s="17"/>
    </row>
    <row r="39" spans="1:21" s="8" customFormat="1" ht="48" x14ac:dyDescent="0.25">
      <c r="A39" s="22">
        <v>4</v>
      </c>
      <c r="B39" s="7" t="s">
        <v>17</v>
      </c>
      <c r="C39" s="11">
        <v>75000000</v>
      </c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s="8" customFormat="1" ht="24" x14ac:dyDescent="0.25">
      <c r="A40" s="22">
        <v>5</v>
      </c>
      <c r="B40" s="7" t="s">
        <v>18</v>
      </c>
      <c r="C40" s="11">
        <v>50000000</v>
      </c>
      <c r="D40" s="17"/>
      <c r="E40" s="17"/>
      <c r="F40" s="17"/>
      <c r="G40" s="17"/>
      <c r="H40" s="17"/>
      <c r="I40" s="17"/>
      <c r="J40" s="25">
        <v>49650000</v>
      </c>
      <c r="K40" s="27">
        <f>(J40/C40)*100</f>
        <v>99.3</v>
      </c>
      <c r="L40" s="27">
        <v>100</v>
      </c>
      <c r="M40" s="17"/>
      <c r="N40" s="17"/>
      <c r="O40" s="17"/>
      <c r="P40" s="17"/>
      <c r="Q40" s="17"/>
      <c r="R40" s="17"/>
      <c r="S40" s="17"/>
      <c r="T40" s="17"/>
      <c r="U40" s="17"/>
    </row>
    <row r="41" spans="1:21" s="8" customFormat="1" ht="36" x14ac:dyDescent="0.25">
      <c r="A41" s="190">
        <v>6</v>
      </c>
      <c r="B41" s="192" t="s">
        <v>38</v>
      </c>
      <c r="C41" s="194">
        <v>200000000</v>
      </c>
      <c r="D41" s="190"/>
      <c r="E41" s="45" t="s">
        <v>104</v>
      </c>
      <c r="F41" s="46" t="s">
        <v>106</v>
      </c>
      <c r="G41" s="25">
        <f>124175000</f>
        <v>124175000</v>
      </c>
      <c r="H41" s="17" t="s">
        <v>109</v>
      </c>
      <c r="I41" s="45" t="s">
        <v>108</v>
      </c>
      <c r="J41" s="196">
        <f>55265000</f>
        <v>55265000</v>
      </c>
      <c r="K41" s="198">
        <f>((J41+G41+G42)/C41)*100</f>
        <v>99.38</v>
      </c>
      <c r="L41" s="200">
        <v>100</v>
      </c>
      <c r="M41" s="17"/>
      <c r="N41" s="17"/>
      <c r="O41" s="17"/>
      <c r="P41" s="17"/>
      <c r="Q41" s="17"/>
      <c r="R41" s="17"/>
      <c r="S41" s="17"/>
      <c r="T41" s="17"/>
      <c r="U41" s="17"/>
    </row>
    <row r="42" spans="1:21" s="8" customFormat="1" ht="36" x14ac:dyDescent="0.25">
      <c r="A42" s="191"/>
      <c r="B42" s="193"/>
      <c r="C42" s="195"/>
      <c r="D42" s="191"/>
      <c r="E42" s="45" t="s">
        <v>105</v>
      </c>
      <c r="F42" s="46" t="s">
        <v>107</v>
      </c>
      <c r="G42" s="25">
        <f>19320000</f>
        <v>19320000</v>
      </c>
      <c r="H42" s="17" t="s">
        <v>109</v>
      </c>
      <c r="I42" s="49">
        <v>43561</v>
      </c>
      <c r="J42" s="197"/>
      <c r="K42" s="199"/>
      <c r="L42" s="201"/>
      <c r="M42" s="17"/>
      <c r="N42" s="17"/>
      <c r="O42" s="17"/>
      <c r="P42" s="17"/>
      <c r="Q42" s="17"/>
      <c r="R42" s="17"/>
      <c r="S42" s="17"/>
      <c r="T42" s="17"/>
      <c r="U42" s="17"/>
    </row>
    <row r="43" spans="1:21" s="8" customFormat="1" ht="24" x14ac:dyDescent="0.25">
      <c r="A43" s="22">
        <v>7</v>
      </c>
      <c r="B43" s="7" t="s">
        <v>37</v>
      </c>
      <c r="C43" s="11">
        <v>200000000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s="8" customFormat="1" ht="24" x14ac:dyDescent="0.25">
      <c r="A44" s="23" t="s">
        <v>100</v>
      </c>
      <c r="B44" s="18" t="s">
        <v>5</v>
      </c>
      <c r="C44" s="24">
        <f>SUM(C45:C48)</f>
        <v>240000000</v>
      </c>
      <c r="D44" s="23"/>
      <c r="E44" s="23"/>
      <c r="F44" s="23"/>
      <c r="G44" s="24">
        <f>SUM(G45:G48)</f>
        <v>0</v>
      </c>
      <c r="H44" s="23"/>
      <c r="I44" s="23"/>
      <c r="J44" s="24">
        <f>SUM(J45:J48)</f>
        <v>108988000</v>
      </c>
      <c r="K44" s="31">
        <f>((J44+G44)/C44)*100</f>
        <v>45.411666666666669</v>
      </c>
      <c r="L44" s="23"/>
      <c r="M44" s="23"/>
      <c r="N44" s="23"/>
      <c r="O44" s="23"/>
      <c r="P44" s="23"/>
      <c r="Q44" s="23"/>
      <c r="R44" s="23"/>
      <c r="S44" s="23"/>
      <c r="T44" s="23"/>
      <c r="U44" s="23"/>
    </row>
    <row r="45" spans="1:21" s="8" customFormat="1" ht="36" x14ac:dyDescent="0.25">
      <c r="A45" s="22">
        <v>1</v>
      </c>
      <c r="B45" s="7" t="s">
        <v>39</v>
      </c>
      <c r="C45" s="10">
        <v>50000000</v>
      </c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s="8" customFormat="1" ht="48" x14ac:dyDescent="0.25">
      <c r="A46" s="22">
        <v>2</v>
      </c>
      <c r="B46" s="7" t="s">
        <v>20</v>
      </c>
      <c r="C46" s="10">
        <v>50000000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s="8" customFormat="1" ht="48" x14ac:dyDescent="0.25">
      <c r="A47" s="22">
        <v>3</v>
      </c>
      <c r="B47" s="7" t="s">
        <v>21</v>
      </c>
      <c r="C47" s="10">
        <v>40000000</v>
      </c>
      <c r="D47" s="17"/>
      <c r="E47" s="17"/>
      <c r="F47" s="17"/>
      <c r="G47" s="17"/>
      <c r="H47" s="17"/>
      <c r="I47" s="17"/>
      <c r="J47" s="25">
        <f>40000000</f>
        <v>40000000</v>
      </c>
      <c r="K47" s="27">
        <f>(J47/C47)*100</f>
        <v>100</v>
      </c>
      <c r="L47" s="50">
        <v>100</v>
      </c>
      <c r="M47" s="17"/>
      <c r="N47" s="17"/>
      <c r="O47" s="17"/>
      <c r="P47" s="17"/>
      <c r="Q47" s="17"/>
      <c r="R47" s="17"/>
      <c r="S47" s="17"/>
      <c r="T47" s="17"/>
      <c r="U47" s="17"/>
    </row>
    <row r="48" spans="1:21" s="8" customFormat="1" ht="36" x14ac:dyDescent="0.25">
      <c r="A48" s="22">
        <v>4</v>
      </c>
      <c r="B48" s="7" t="s">
        <v>23</v>
      </c>
      <c r="C48" s="10">
        <v>100000000</v>
      </c>
      <c r="D48" s="17"/>
      <c r="E48" s="17"/>
      <c r="F48" s="17"/>
      <c r="G48" s="17"/>
      <c r="H48" s="17"/>
      <c r="I48" s="17"/>
      <c r="J48" s="25">
        <v>68988000</v>
      </c>
      <c r="K48" s="27">
        <f>(J48/C48)*100</f>
        <v>68.988</v>
      </c>
      <c r="L48" s="50">
        <v>100</v>
      </c>
      <c r="M48" s="17"/>
      <c r="N48" s="17"/>
      <c r="O48" s="17"/>
      <c r="P48" s="17"/>
      <c r="Q48" s="17"/>
      <c r="R48" s="17"/>
      <c r="S48" s="17"/>
      <c r="T48" s="17"/>
      <c r="U48" s="17"/>
    </row>
    <row r="49" spans="1:21" s="30" customFormat="1" ht="48" x14ac:dyDescent="0.25">
      <c r="A49" s="29" t="s">
        <v>101</v>
      </c>
      <c r="B49" s="18" t="s">
        <v>31</v>
      </c>
      <c r="C49" s="24">
        <f>SUM(C50:C52)</f>
        <v>185000000</v>
      </c>
      <c r="D49" s="29"/>
      <c r="E49" s="29"/>
      <c r="F49" s="29"/>
      <c r="G49" s="24">
        <f>SUM(G50:G52)</f>
        <v>0</v>
      </c>
      <c r="H49" s="29"/>
      <c r="I49" s="29"/>
      <c r="J49" s="24">
        <f>SUM(J50:J52)</f>
        <v>58030800</v>
      </c>
      <c r="K49" s="31">
        <f>((J49+G49)/C49)*100</f>
        <v>31.368000000000002</v>
      </c>
      <c r="L49" s="29"/>
      <c r="M49" s="29"/>
      <c r="N49" s="29"/>
      <c r="O49" s="29"/>
      <c r="P49" s="29"/>
      <c r="Q49" s="29"/>
      <c r="R49" s="29"/>
      <c r="S49" s="29"/>
      <c r="T49" s="29"/>
      <c r="U49" s="29"/>
    </row>
    <row r="50" spans="1:21" s="8" customFormat="1" ht="48" x14ac:dyDescent="0.25">
      <c r="A50" s="22">
        <v>1</v>
      </c>
      <c r="B50" s="7" t="s">
        <v>35</v>
      </c>
      <c r="C50" s="10">
        <v>30000000</v>
      </c>
      <c r="D50" s="17"/>
      <c r="E50" s="17"/>
      <c r="F50" s="17"/>
      <c r="G50" s="17"/>
      <c r="H50" s="17"/>
      <c r="I50" s="17"/>
      <c r="J50" s="25">
        <f>2200000+600000+1800000+16511800</f>
        <v>21111800</v>
      </c>
      <c r="K50" s="27">
        <f>(J50/C50)*100</f>
        <v>70.37266666666666</v>
      </c>
      <c r="L50" s="27">
        <v>60</v>
      </c>
      <c r="M50" s="17"/>
      <c r="N50" s="17"/>
      <c r="O50" s="17"/>
      <c r="P50" s="17"/>
      <c r="Q50" s="17"/>
      <c r="R50" s="17"/>
      <c r="S50" s="17"/>
      <c r="T50" s="17"/>
      <c r="U50" s="17"/>
    </row>
    <row r="51" spans="1:21" s="8" customFormat="1" ht="60" x14ac:dyDescent="0.25">
      <c r="A51" s="22">
        <v>2</v>
      </c>
      <c r="B51" s="7" t="s">
        <v>32</v>
      </c>
      <c r="C51" s="10">
        <v>30000000</v>
      </c>
      <c r="D51" s="17"/>
      <c r="E51" s="17"/>
      <c r="F51" s="17"/>
      <c r="G51" s="17"/>
      <c r="H51" s="17"/>
      <c r="I51" s="17"/>
      <c r="J51" s="25">
        <f>2400000+6650000</f>
        <v>9050000</v>
      </c>
      <c r="K51" s="27">
        <f>(J51/C51)*100</f>
        <v>30.166666666666668</v>
      </c>
      <c r="L51" s="27">
        <v>30</v>
      </c>
      <c r="M51" s="17"/>
      <c r="N51" s="17"/>
      <c r="O51" s="17"/>
      <c r="P51" s="17"/>
      <c r="Q51" s="17"/>
      <c r="R51" s="17"/>
      <c r="S51" s="17"/>
      <c r="T51" s="17"/>
      <c r="U51" s="17"/>
    </row>
    <row r="52" spans="1:21" s="8" customFormat="1" ht="48" x14ac:dyDescent="0.25">
      <c r="A52" s="22">
        <v>3</v>
      </c>
      <c r="B52" s="7" t="s">
        <v>34</v>
      </c>
      <c r="C52" s="10">
        <v>125000000</v>
      </c>
      <c r="D52" s="17"/>
      <c r="E52" s="17"/>
      <c r="F52" s="17"/>
      <c r="G52" s="17"/>
      <c r="H52" s="17"/>
      <c r="I52" s="17"/>
      <c r="J52" s="60">
        <f>7744000+11000000+3800000+5325000</f>
        <v>27869000</v>
      </c>
      <c r="K52" s="61">
        <f>(J52/C52)*100</f>
        <v>22.295200000000001</v>
      </c>
      <c r="L52" s="27">
        <v>35</v>
      </c>
      <c r="M52" s="17"/>
      <c r="N52" s="17"/>
      <c r="O52" s="17"/>
      <c r="P52" s="17"/>
      <c r="Q52" s="17"/>
      <c r="R52" s="17"/>
      <c r="S52" s="17"/>
      <c r="T52" s="17"/>
      <c r="U52" s="17"/>
    </row>
    <row r="53" spans="1:21" s="8" customFormat="1" ht="24" x14ac:dyDescent="0.25">
      <c r="A53" s="23" t="s">
        <v>102</v>
      </c>
      <c r="B53" s="18" t="s">
        <v>6</v>
      </c>
      <c r="C53" s="24">
        <f>SUM(C54:C54)</f>
        <v>75000000</v>
      </c>
      <c r="D53" s="23"/>
      <c r="E53" s="23"/>
      <c r="F53" s="23"/>
      <c r="G53" s="24">
        <f>SUM(G54:G54)</f>
        <v>0</v>
      </c>
      <c r="H53" s="23"/>
      <c r="I53" s="23"/>
      <c r="J53" s="24">
        <f>SUM(J54:J54)</f>
        <v>43155368</v>
      </c>
      <c r="K53" s="32">
        <f>((J53+G53)/C53)*100</f>
        <v>57.540490666666663</v>
      </c>
      <c r="L53" s="23"/>
      <c r="M53" s="23"/>
      <c r="N53" s="23"/>
      <c r="O53" s="23"/>
      <c r="P53" s="23"/>
      <c r="Q53" s="23"/>
      <c r="R53" s="23"/>
      <c r="S53" s="23"/>
      <c r="T53" s="23"/>
      <c r="U53" s="23"/>
    </row>
    <row r="54" spans="1:21" s="8" customFormat="1" ht="24" x14ac:dyDescent="0.25">
      <c r="A54" s="22">
        <v>1</v>
      </c>
      <c r="B54" s="7" t="s">
        <v>14</v>
      </c>
      <c r="C54" s="10">
        <v>75000000</v>
      </c>
      <c r="D54" s="17"/>
      <c r="E54" s="17"/>
      <c r="F54" s="17"/>
      <c r="G54" s="17"/>
      <c r="H54" s="17"/>
      <c r="I54" s="17"/>
      <c r="J54" s="25">
        <f>1200000+41955368</f>
        <v>43155368</v>
      </c>
      <c r="K54" s="61">
        <f>(J54/C54)*100</f>
        <v>57.540490666666663</v>
      </c>
      <c r="L54" s="27">
        <v>60</v>
      </c>
      <c r="M54" s="17"/>
      <c r="N54" s="17"/>
      <c r="O54" s="17"/>
      <c r="P54" s="17"/>
      <c r="Q54" s="17"/>
      <c r="R54" s="17"/>
      <c r="S54" s="17"/>
      <c r="T54" s="17"/>
      <c r="U54" s="17"/>
    </row>
    <row r="55" spans="1:21" ht="17.25" customHeight="1" x14ac:dyDescent="0.25">
      <c r="A55" s="274" t="s">
        <v>88</v>
      </c>
      <c r="B55" s="274"/>
      <c r="C55" s="275">
        <f>C12+C22+C31+C33+C35+C44+C49+C53</f>
        <v>4405000000</v>
      </c>
      <c r="D55" s="276"/>
      <c r="E55" s="276"/>
      <c r="F55" s="276"/>
      <c r="G55" s="275">
        <f>G12+G22+G31+G33+G35+G44+G49+G53</f>
        <v>277506000</v>
      </c>
      <c r="H55" s="276"/>
      <c r="I55" s="276"/>
      <c r="J55" s="275">
        <f>J12+J22+J31+J33+J35+J44+J49+J53</f>
        <v>807359343</v>
      </c>
      <c r="K55" s="277">
        <f>((J55+G55)/C55)*100</f>
        <v>24.628044108967082</v>
      </c>
      <c r="L55" s="276"/>
      <c r="M55" s="276"/>
      <c r="N55" s="276"/>
      <c r="O55" s="276"/>
      <c r="P55" s="276"/>
      <c r="Q55" s="276"/>
      <c r="R55" s="276"/>
      <c r="S55" s="276"/>
      <c r="T55" s="276"/>
      <c r="U55" s="276"/>
    </row>
    <row r="58" spans="1:21" ht="15" x14ac:dyDescent="0.25">
      <c r="P58" s="52" t="s">
        <v>122</v>
      </c>
    </row>
    <row r="59" spans="1:21" ht="15" x14ac:dyDescent="0.25">
      <c r="P59" s="52" t="s">
        <v>89</v>
      </c>
    </row>
    <row r="60" spans="1:21" ht="15" x14ac:dyDescent="0.25">
      <c r="P60" s="52" t="s">
        <v>90</v>
      </c>
    </row>
    <row r="61" spans="1:21" ht="15" x14ac:dyDescent="0.25">
      <c r="P61" s="52" t="s">
        <v>91</v>
      </c>
    </row>
    <row r="62" spans="1:21" ht="15" x14ac:dyDescent="0.25">
      <c r="P62" s="52"/>
    </row>
    <row r="63" spans="1:21" ht="15" x14ac:dyDescent="0.25">
      <c r="P63" s="52"/>
    </row>
    <row r="64" spans="1:21" ht="15" x14ac:dyDescent="0.25">
      <c r="P64" s="52"/>
    </row>
    <row r="65" spans="16:16" ht="15.75" x14ac:dyDescent="0.25">
      <c r="P65" s="53" t="s">
        <v>92</v>
      </c>
    </row>
    <row r="66" spans="16:16" ht="15.75" x14ac:dyDescent="0.25">
      <c r="P66" s="54" t="s">
        <v>93</v>
      </c>
    </row>
    <row r="67" spans="16:16" ht="15.75" x14ac:dyDescent="0.25">
      <c r="P67" s="55" t="s">
        <v>94</v>
      </c>
    </row>
  </sheetData>
  <mergeCells count="25">
    <mergeCell ref="A55:B55"/>
    <mergeCell ref="K41:K42"/>
    <mergeCell ref="L41:L42"/>
    <mergeCell ref="J28:J29"/>
    <mergeCell ref="K28:K29"/>
    <mergeCell ref="L28:L29"/>
    <mergeCell ref="A41:A42"/>
    <mergeCell ref="B41:B42"/>
    <mergeCell ref="C41:C42"/>
    <mergeCell ref="D41:D42"/>
    <mergeCell ref="J41:J42"/>
    <mergeCell ref="A1:U1"/>
    <mergeCell ref="A2:U2"/>
    <mergeCell ref="M7:O7"/>
    <mergeCell ref="P7:R7"/>
    <mergeCell ref="S7:T7"/>
    <mergeCell ref="U7:U8"/>
    <mergeCell ref="B7:B8"/>
    <mergeCell ref="A7:A8"/>
    <mergeCell ref="C7:D7"/>
    <mergeCell ref="E7:E8"/>
    <mergeCell ref="F7:F8"/>
    <mergeCell ref="G7:G8"/>
    <mergeCell ref="H7:I7"/>
    <mergeCell ref="J7:K7"/>
  </mergeCells>
  <printOptions horizontalCentered="1"/>
  <pageMargins left="0.2" right="0.2" top="0.5" bottom="0.5" header="0.3" footer="0.3"/>
  <pageSetup paperSize="10000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P30"/>
  <sheetViews>
    <sheetView zoomScale="80" zoomScaleNormal="80" workbookViewId="0">
      <selection activeCell="T16" sqref="T16"/>
    </sheetView>
  </sheetViews>
  <sheetFormatPr defaultRowHeight="15" x14ac:dyDescent="0.25"/>
  <cols>
    <col min="1" max="1" width="4.140625" style="1" bestFit="1" customWidth="1"/>
    <col min="2" max="2" width="25.28515625" style="1" customWidth="1"/>
    <col min="3" max="4" width="9.140625" style="1"/>
    <col min="5" max="5" width="10.42578125" style="1" customWidth="1"/>
    <col min="6" max="6" width="8.28515625" style="1" bestFit="1" customWidth="1"/>
    <col min="7" max="7" width="13.42578125" style="1" customWidth="1"/>
    <col min="8" max="8" width="9.140625" style="1"/>
    <col min="9" max="9" width="9.5703125" style="1" customWidth="1"/>
    <col min="10" max="10" width="9.140625" style="1"/>
    <col min="11" max="11" width="9.7109375" style="1" customWidth="1"/>
    <col min="12" max="12" width="9.85546875" style="1" customWidth="1"/>
    <col min="13" max="13" width="5.7109375" style="1" customWidth="1"/>
    <col min="14" max="14" width="9.140625" style="1"/>
    <col min="15" max="15" width="6.140625" style="1" customWidth="1"/>
    <col min="16" max="16" width="15.85546875" style="1" customWidth="1"/>
    <col min="17" max="16384" width="9.140625" style="1"/>
  </cols>
  <sheetData>
    <row r="1" spans="1:16" ht="18.75" x14ac:dyDescent="0.25">
      <c r="A1" s="202" t="s">
        <v>80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</row>
    <row r="2" spans="1:16" ht="18.75" x14ac:dyDescent="0.25">
      <c r="A2" s="202" t="s">
        <v>81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</row>
    <row r="3" spans="1:16" ht="18.75" x14ac:dyDescent="0.25">
      <c r="A3" s="202" t="s">
        <v>62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</row>
    <row r="4" spans="1:16" ht="18.75" x14ac:dyDescent="0.25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</row>
    <row r="6" spans="1:16" x14ac:dyDescent="0.25">
      <c r="B6" s="4" t="s">
        <v>82</v>
      </c>
      <c r="C6" s="4" t="s">
        <v>86</v>
      </c>
    </row>
    <row r="7" spans="1:16" x14ac:dyDescent="0.25">
      <c r="B7" s="4" t="s">
        <v>83</v>
      </c>
      <c r="C7" s="4" t="s">
        <v>87</v>
      </c>
    </row>
    <row r="8" spans="1:16" x14ac:dyDescent="0.25">
      <c r="B8" s="4" t="s">
        <v>84</v>
      </c>
      <c r="C8" s="4" t="s">
        <v>65</v>
      </c>
    </row>
    <row r="9" spans="1:16" x14ac:dyDescent="0.25">
      <c r="B9" s="4" t="s">
        <v>85</v>
      </c>
      <c r="C9" s="4" t="s">
        <v>434</v>
      </c>
    </row>
    <row r="11" spans="1:16" s="2" customFormat="1" x14ac:dyDescent="0.25">
      <c r="A11" s="204" t="s">
        <v>41</v>
      </c>
      <c r="B11" s="204" t="s">
        <v>66</v>
      </c>
      <c r="C11" s="204" t="s">
        <v>67</v>
      </c>
      <c r="D11" s="204"/>
      <c r="E11" s="204"/>
      <c r="F11" s="204"/>
      <c r="G11" s="204"/>
      <c r="H11" s="204" t="s">
        <v>73</v>
      </c>
      <c r="I11" s="204"/>
      <c r="J11" s="204"/>
      <c r="K11" s="204"/>
      <c r="L11" s="204" t="s">
        <v>78</v>
      </c>
      <c r="M11" s="204"/>
      <c r="N11" s="204"/>
      <c r="O11" s="204"/>
      <c r="P11" s="204" t="s">
        <v>79</v>
      </c>
    </row>
    <row r="12" spans="1:16" s="2" customFormat="1" ht="30" x14ac:dyDescent="0.25">
      <c r="A12" s="204"/>
      <c r="B12" s="204"/>
      <c r="C12" s="204" t="s">
        <v>68</v>
      </c>
      <c r="D12" s="204" t="s">
        <v>69</v>
      </c>
      <c r="E12" s="204" t="s">
        <v>70</v>
      </c>
      <c r="F12" s="204" t="s">
        <v>69</v>
      </c>
      <c r="G12" s="5" t="s">
        <v>71</v>
      </c>
      <c r="H12" s="204" t="s">
        <v>75</v>
      </c>
      <c r="I12" s="204"/>
      <c r="J12" s="204" t="s">
        <v>74</v>
      </c>
      <c r="K12" s="204"/>
      <c r="L12" s="204" t="s">
        <v>76</v>
      </c>
      <c r="M12" s="204"/>
      <c r="N12" s="204" t="s">
        <v>77</v>
      </c>
      <c r="O12" s="204"/>
      <c r="P12" s="204"/>
    </row>
    <row r="13" spans="1:16" s="2" customFormat="1" ht="45" x14ac:dyDescent="0.25">
      <c r="A13" s="204"/>
      <c r="B13" s="204"/>
      <c r="C13" s="204"/>
      <c r="D13" s="204"/>
      <c r="E13" s="204"/>
      <c r="F13" s="204"/>
      <c r="G13" s="5" t="s">
        <v>72</v>
      </c>
      <c r="H13" s="5" t="s">
        <v>68</v>
      </c>
      <c r="I13" s="5" t="s">
        <v>72</v>
      </c>
      <c r="J13" s="5" t="s">
        <v>68</v>
      </c>
      <c r="K13" s="5" t="s">
        <v>72</v>
      </c>
      <c r="L13" s="5" t="s">
        <v>72</v>
      </c>
      <c r="M13" s="5" t="s">
        <v>49</v>
      </c>
      <c r="N13" s="5" t="s">
        <v>68</v>
      </c>
      <c r="O13" s="5" t="s">
        <v>49</v>
      </c>
      <c r="P13" s="204"/>
    </row>
    <row r="14" spans="1:16" s="3" customFormat="1" ht="11.25" x14ac:dyDescent="0.25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6">
        <v>16</v>
      </c>
    </row>
    <row r="15" spans="1:16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ht="24" x14ac:dyDescent="0.25">
      <c r="A16" s="20" t="s">
        <v>95</v>
      </c>
      <c r="B16" s="28" t="s">
        <v>4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 x14ac:dyDescent="0.25">
      <c r="A17" s="12">
        <v>1</v>
      </c>
      <c r="B17" s="21" t="s">
        <v>40</v>
      </c>
      <c r="C17" s="12"/>
      <c r="D17" s="12"/>
      <c r="E17" s="12"/>
      <c r="F17" s="12"/>
      <c r="G17" s="13">
        <v>1750000</v>
      </c>
      <c r="H17" s="12"/>
      <c r="I17" s="12"/>
      <c r="J17" s="12"/>
      <c r="K17" s="12"/>
      <c r="L17" s="12"/>
      <c r="M17" s="12"/>
      <c r="N17" s="12"/>
      <c r="O17" s="12"/>
      <c r="P17" s="12"/>
    </row>
    <row r="18" spans="1:16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x14ac:dyDescent="0.25">
      <c r="A19" s="203" t="s">
        <v>88</v>
      </c>
      <c r="B19" s="203"/>
      <c r="C19" s="203"/>
      <c r="D19" s="203"/>
      <c r="E19" s="203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1" spans="1:16" x14ac:dyDescent="0.25">
      <c r="L21" s="1" t="s">
        <v>122</v>
      </c>
    </row>
    <row r="22" spans="1:16" x14ac:dyDescent="0.25">
      <c r="L22" s="1" t="s">
        <v>89</v>
      </c>
    </row>
    <row r="23" spans="1:16" x14ac:dyDescent="0.25">
      <c r="L23" s="1" t="s">
        <v>90</v>
      </c>
    </row>
    <row r="24" spans="1:16" x14ac:dyDescent="0.25">
      <c r="L24" s="1" t="s">
        <v>91</v>
      </c>
    </row>
    <row r="28" spans="1:16" ht="15.75" x14ac:dyDescent="0.25">
      <c r="L28" s="14" t="s">
        <v>92</v>
      </c>
    </row>
    <row r="29" spans="1:16" ht="15.75" x14ac:dyDescent="0.25">
      <c r="L29" s="15" t="s">
        <v>93</v>
      </c>
    </row>
    <row r="30" spans="1:16" ht="15.75" x14ac:dyDescent="0.25">
      <c r="L30" s="16" t="s">
        <v>94</v>
      </c>
    </row>
  </sheetData>
  <mergeCells count="19">
    <mergeCell ref="J12:K12"/>
    <mergeCell ref="L12:M12"/>
    <mergeCell ref="H11:K11"/>
    <mergeCell ref="A1:P1"/>
    <mergeCell ref="A2:P2"/>
    <mergeCell ref="A3:P3"/>
    <mergeCell ref="A4:P4"/>
    <mergeCell ref="A19:E19"/>
    <mergeCell ref="N12:O12"/>
    <mergeCell ref="L11:O11"/>
    <mergeCell ref="P11:P13"/>
    <mergeCell ref="B11:B13"/>
    <mergeCell ref="A11:A13"/>
    <mergeCell ref="C12:C13"/>
    <mergeCell ref="D12:D13"/>
    <mergeCell ref="E12:E13"/>
    <mergeCell ref="F12:F13"/>
    <mergeCell ref="C11:G11"/>
    <mergeCell ref="H12:I12"/>
  </mergeCells>
  <printOptions horizontalCentered="1"/>
  <pageMargins left="0.2" right="0.2" top="0.75" bottom="0.75" header="0.3" footer="0.3"/>
  <pageSetup paperSize="10000" scale="9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view="pageBreakPreview" zoomScale="80" zoomScaleNormal="80" zoomScaleSheetLayoutView="80" workbookViewId="0">
      <pane ySplit="8" topLeftCell="A105" activePane="bottomLeft" state="frozen"/>
      <selection pane="bottomLeft" activeCell="A91" sqref="A91:Q92"/>
    </sheetView>
  </sheetViews>
  <sheetFormatPr defaultRowHeight="15" x14ac:dyDescent="0.25"/>
  <cols>
    <col min="1" max="1" width="5" style="63" customWidth="1"/>
    <col min="2" max="2" width="20.5703125" style="63" customWidth="1"/>
    <col min="3" max="3" width="16.5703125" style="63" customWidth="1"/>
    <col min="4" max="4" width="11.42578125" style="63" customWidth="1"/>
    <col min="5" max="5" width="15" style="63" customWidth="1"/>
    <col min="6" max="6" width="10.7109375" style="63" customWidth="1"/>
    <col min="7" max="8" width="13.85546875" style="63" customWidth="1"/>
    <col min="9" max="9" width="13" style="63" customWidth="1"/>
    <col min="10" max="11" width="11.85546875" style="63" customWidth="1"/>
    <col min="12" max="12" width="12" style="63" customWidth="1"/>
    <col min="13" max="13" width="9.7109375" style="63" customWidth="1"/>
    <col min="14" max="14" width="8.7109375" style="63" customWidth="1"/>
    <col min="15" max="15" width="13" style="63" customWidth="1"/>
    <col min="16" max="16" width="11.85546875" style="63" customWidth="1"/>
    <col min="17" max="17" width="13.140625" style="63" customWidth="1"/>
    <col min="18" max="16384" width="9.140625" style="63"/>
  </cols>
  <sheetData>
    <row r="1" spans="1:17" ht="15.75" x14ac:dyDescent="0.25">
      <c r="A1" s="271" t="s">
        <v>123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</row>
    <row r="2" spans="1:17" ht="15.75" x14ac:dyDescent="0.25">
      <c r="A2" s="271" t="s">
        <v>124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</row>
    <row r="3" spans="1:17" ht="15.75" x14ac:dyDescent="0.25">
      <c r="A3" s="271" t="s">
        <v>125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</row>
    <row r="4" spans="1:17" ht="15.75" x14ac:dyDescent="0.25">
      <c r="B4" s="62" t="s">
        <v>126</v>
      </c>
      <c r="I4" s="106"/>
    </row>
    <row r="5" spans="1:17" x14ac:dyDescent="0.25">
      <c r="A5" s="267" t="s">
        <v>127</v>
      </c>
      <c r="B5" s="267" t="s">
        <v>128</v>
      </c>
      <c r="C5" s="261" t="s">
        <v>129</v>
      </c>
      <c r="D5" s="263"/>
      <c r="E5" s="267" t="s">
        <v>130</v>
      </c>
      <c r="F5" s="264" t="s">
        <v>131</v>
      </c>
      <c r="G5" s="273" t="s">
        <v>132</v>
      </c>
      <c r="H5" s="273"/>
      <c r="I5" s="261" t="s">
        <v>133</v>
      </c>
      <c r="J5" s="262"/>
      <c r="K5" s="263"/>
      <c r="L5" s="261" t="s">
        <v>134</v>
      </c>
      <c r="M5" s="262"/>
      <c r="N5" s="262"/>
      <c r="O5" s="262"/>
      <c r="P5" s="263"/>
      <c r="Q5" s="264" t="s">
        <v>135</v>
      </c>
    </row>
    <row r="6" spans="1:17" x14ac:dyDescent="0.25">
      <c r="A6" s="272"/>
      <c r="B6" s="272"/>
      <c r="C6" s="267" t="s">
        <v>136</v>
      </c>
      <c r="D6" s="267" t="s">
        <v>137</v>
      </c>
      <c r="E6" s="272"/>
      <c r="F6" s="265"/>
      <c r="G6" s="273"/>
      <c r="H6" s="273"/>
      <c r="I6" s="269" t="s">
        <v>138</v>
      </c>
      <c r="J6" s="264" t="s">
        <v>139</v>
      </c>
      <c r="K6" s="264" t="s">
        <v>140</v>
      </c>
      <c r="L6" s="267" t="s">
        <v>141</v>
      </c>
      <c r="M6" s="261" t="s">
        <v>142</v>
      </c>
      <c r="N6" s="262"/>
      <c r="O6" s="263"/>
      <c r="P6" s="264" t="s">
        <v>143</v>
      </c>
      <c r="Q6" s="265"/>
    </row>
    <row r="7" spans="1:17" ht="25.5" x14ac:dyDescent="0.25">
      <c r="A7" s="268"/>
      <c r="B7" s="268"/>
      <c r="C7" s="268"/>
      <c r="D7" s="268"/>
      <c r="E7" s="268"/>
      <c r="F7" s="266"/>
      <c r="G7" s="64" t="s">
        <v>144</v>
      </c>
      <c r="H7" s="65" t="s">
        <v>145</v>
      </c>
      <c r="I7" s="270"/>
      <c r="J7" s="266"/>
      <c r="K7" s="266"/>
      <c r="L7" s="268"/>
      <c r="M7" s="64" t="s">
        <v>146</v>
      </c>
      <c r="N7" s="64" t="s">
        <v>147</v>
      </c>
      <c r="O7" s="64" t="s">
        <v>148</v>
      </c>
      <c r="P7" s="266"/>
      <c r="Q7" s="266"/>
    </row>
    <row r="8" spans="1:17" s="107" customFormat="1" ht="12.75" x14ac:dyDescent="0.2">
      <c r="A8" s="66">
        <v>1</v>
      </c>
      <c r="B8" s="66">
        <v>2</v>
      </c>
      <c r="C8" s="66">
        <v>3</v>
      </c>
      <c r="D8" s="66">
        <v>4</v>
      </c>
      <c r="E8" s="66">
        <v>5</v>
      </c>
      <c r="F8" s="67">
        <v>6</v>
      </c>
      <c r="G8" s="67">
        <v>7</v>
      </c>
      <c r="H8" s="67">
        <v>8</v>
      </c>
      <c r="I8" s="67">
        <v>9</v>
      </c>
      <c r="J8" s="67">
        <v>10</v>
      </c>
      <c r="K8" s="67">
        <v>11</v>
      </c>
      <c r="L8" s="67">
        <v>12</v>
      </c>
      <c r="M8" s="67">
        <v>13</v>
      </c>
      <c r="N8" s="67">
        <v>14</v>
      </c>
      <c r="O8" s="67">
        <v>15</v>
      </c>
      <c r="P8" s="67">
        <v>16</v>
      </c>
      <c r="Q8" s="67">
        <v>17</v>
      </c>
    </row>
    <row r="9" spans="1:17" s="113" customFormat="1" ht="15" customHeight="1" x14ac:dyDescent="0.25">
      <c r="A9" s="108"/>
      <c r="B9" s="68" t="s">
        <v>149</v>
      </c>
      <c r="C9" s="108"/>
      <c r="D9" s="108"/>
      <c r="E9" s="108"/>
      <c r="F9" s="109"/>
      <c r="G9" s="69">
        <f>G10+G55+G61+G83+G86+G93+G95+G101</f>
        <v>5215000000</v>
      </c>
      <c r="H9" s="69">
        <f>H10+H55+H61+H83+H86+H93+H95+H101</f>
        <v>6630484700</v>
      </c>
      <c r="I9" s="69">
        <f>I10+I55+I61+I83+I86+I93+I95+I101</f>
        <v>6375428208</v>
      </c>
      <c r="J9" s="110">
        <f>I9/H9%</f>
        <v>96.153275310325355</v>
      </c>
      <c r="K9" s="111">
        <v>100</v>
      </c>
      <c r="L9" s="112"/>
      <c r="M9" s="112"/>
      <c r="N9" s="112"/>
      <c r="O9" s="112"/>
      <c r="P9" s="112"/>
      <c r="Q9" s="112"/>
    </row>
    <row r="10" spans="1:17" s="113" customFormat="1" ht="17.25" customHeight="1" x14ac:dyDescent="0.25">
      <c r="A10" s="114" t="s">
        <v>150</v>
      </c>
      <c r="B10" s="70" t="s">
        <v>0</v>
      </c>
      <c r="C10" s="85"/>
      <c r="D10" s="85"/>
      <c r="E10" s="85"/>
      <c r="F10" s="85"/>
      <c r="G10" s="71">
        <f>SUM(G11:G23)+G25+G26+G27+G28+G29+G30+G32+G35</f>
        <v>2255000000</v>
      </c>
      <c r="H10" s="71">
        <f>SUM(H11:H23)+H25+H26+H27+H28+H29+H30+H32+H35+H39+H41+H42+H43+H44+H45+H46+H47+H48+H49+H50+H51+H52+H53+H54</f>
        <v>3684177000</v>
      </c>
      <c r="I10" s="71">
        <f>SUM(I11:I23)+I25+I26+I27+I28+I29+I30+I32+I35+I39+I41+I42+I43+I44+I45+I46+I47+I48+I49+I50+I51+I52+I53+I54</f>
        <v>3548034375</v>
      </c>
      <c r="J10" s="112">
        <f>I10/H10%</f>
        <v>96.304666551037045</v>
      </c>
      <c r="K10" s="111">
        <v>100</v>
      </c>
      <c r="L10" s="112"/>
      <c r="M10" s="112"/>
      <c r="N10" s="112"/>
      <c r="O10" s="112"/>
      <c r="P10" s="112"/>
      <c r="Q10" s="112"/>
    </row>
    <row r="11" spans="1:17" s="113" customFormat="1" ht="12.75" x14ac:dyDescent="0.25">
      <c r="A11" s="211">
        <v>1</v>
      </c>
      <c r="B11" s="213" t="s">
        <v>151</v>
      </c>
      <c r="C11" s="213" t="s">
        <v>152</v>
      </c>
      <c r="D11" s="248" t="s">
        <v>153</v>
      </c>
      <c r="E11" s="213" t="s">
        <v>154</v>
      </c>
      <c r="F11" s="115" t="s">
        <v>155</v>
      </c>
      <c r="G11" s="72">
        <v>100000000</v>
      </c>
      <c r="H11" s="72">
        <v>100000000</v>
      </c>
      <c r="I11" s="116">
        <v>99333775</v>
      </c>
      <c r="J11" s="117">
        <f>I11/G11%</f>
        <v>99.333775000000003</v>
      </c>
      <c r="K11" s="118">
        <v>100</v>
      </c>
      <c r="L11" s="213" t="s">
        <v>156</v>
      </c>
      <c r="M11" s="251" t="s">
        <v>157</v>
      </c>
      <c r="N11" s="251" t="s">
        <v>158</v>
      </c>
      <c r="O11" s="258">
        <v>97086000</v>
      </c>
      <c r="P11" s="248" t="s">
        <v>159</v>
      </c>
      <c r="Q11" s="119"/>
    </row>
    <row r="12" spans="1:17" s="113" customFormat="1" ht="12.75" x14ac:dyDescent="0.25">
      <c r="A12" s="223"/>
      <c r="B12" s="224"/>
      <c r="C12" s="224"/>
      <c r="D12" s="249"/>
      <c r="E12" s="224"/>
      <c r="F12" s="120"/>
      <c r="G12" s="120"/>
      <c r="H12" s="120"/>
      <c r="I12" s="120"/>
      <c r="J12" s="121"/>
      <c r="K12" s="119"/>
      <c r="L12" s="224"/>
      <c r="M12" s="252"/>
      <c r="N12" s="252"/>
      <c r="O12" s="259"/>
      <c r="P12" s="249"/>
      <c r="Q12" s="119"/>
    </row>
    <row r="13" spans="1:17" s="113" customFormat="1" ht="12.75" x14ac:dyDescent="0.25">
      <c r="A13" s="223"/>
      <c r="B13" s="224"/>
      <c r="C13" s="224"/>
      <c r="D13" s="249"/>
      <c r="E13" s="120"/>
      <c r="F13" s="120"/>
      <c r="G13" s="120"/>
      <c r="H13" s="120"/>
      <c r="I13" s="120"/>
      <c r="J13" s="121"/>
      <c r="K13" s="119"/>
      <c r="L13" s="224"/>
      <c r="M13" s="252"/>
      <c r="N13" s="252"/>
      <c r="O13" s="259"/>
      <c r="P13" s="249"/>
      <c r="Q13" s="119"/>
    </row>
    <row r="14" spans="1:17" s="113" customFormat="1" ht="28.5" customHeight="1" x14ac:dyDescent="0.25">
      <c r="A14" s="223"/>
      <c r="B14" s="224"/>
      <c r="C14" s="214"/>
      <c r="D14" s="250"/>
      <c r="E14" s="120"/>
      <c r="F14" s="120"/>
      <c r="G14" s="120"/>
      <c r="H14" s="120"/>
      <c r="I14" s="120"/>
      <c r="J14" s="121"/>
      <c r="K14" s="122"/>
      <c r="L14" s="214"/>
      <c r="M14" s="253"/>
      <c r="N14" s="253"/>
      <c r="O14" s="260"/>
      <c r="P14" s="250"/>
      <c r="Q14" s="122"/>
    </row>
    <row r="15" spans="1:17" s="113" customFormat="1" ht="40.5" customHeight="1" x14ac:dyDescent="0.25">
      <c r="A15" s="75">
        <v>2</v>
      </c>
      <c r="B15" s="73" t="s">
        <v>160</v>
      </c>
      <c r="C15" s="76" t="s">
        <v>161</v>
      </c>
      <c r="D15" s="123" t="s">
        <v>162</v>
      </c>
      <c r="E15" s="73" t="s">
        <v>163</v>
      </c>
      <c r="F15" s="73" t="s">
        <v>155</v>
      </c>
      <c r="G15" s="74">
        <v>1000000000</v>
      </c>
      <c r="H15" s="74">
        <v>1000000000</v>
      </c>
      <c r="I15" s="124">
        <v>970843000</v>
      </c>
      <c r="J15" s="125">
        <f>I15/G15%</f>
        <v>97.084299999999999</v>
      </c>
      <c r="K15" s="125">
        <v>100</v>
      </c>
      <c r="L15" s="85" t="s">
        <v>156</v>
      </c>
      <c r="M15" s="126" t="s">
        <v>164</v>
      </c>
      <c r="N15" s="126" t="s">
        <v>158</v>
      </c>
      <c r="O15" s="127">
        <v>913036000</v>
      </c>
      <c r="P15" s="128" t="s">
        <v>165</v>
      </c>
      <c r="Q15" s="76"/>
    </row>
    <row r="16" spans="1:17" s="113" customFormat="1" ht="55.5" customHeight="1" x14ac:dyDescent="0.25">
      <c r="A16" s="75">
        <v>3</v>
      </c>
      <c r="B16" s="73" t="s">
        <v>166</v>
      </c>
      <c r="C16" s="76" t="s">
        <v>167</v>
      </c>
      <c r="D16" s="76" t="s">
        <v>168</v>
      </c>
      <c r="E16" s="76" t="s">
        <v>169</v>
      </c>
      <c r="F16" s="76" t="s">
        <v>155</v>
      </c>
      <c r="G16" s="77">
        <v>100000000</v>
      </c>
      <c r="H16" s="77">
        <v>100000000</v>
      </c>
      <c r="I16" s="116">
        <f>72280000+27126000</f>
        <v>99406000</v>
      </c>
      <c r="J16" s="129">
        <f t="shared" ref="J16:J105" si="0">I16/G16%</f>
        <v>99.406000000000006</v>
      </c>
      <c r="K16" s="129">
        <v>100</v>
      </c>
      <c r="L16" s="85" t="s">
        <v>156</v>
      </c>
      <c r="M16" s="126" t="s">
        <v>170</v>
      </c>
      <c r="N16" s="126" t="s">
        <v>158</v>
      </c>
      <c r="O16" s="127">
        <v>27126000</v>
      </c>
      <c r="P16" s="128" t="s">
        <v>171</v>
      </c>
      <c r="Q16" s="76"/>
    </row>
    <row r="17" spans="1:17" s="113" customFormat="1" ht="27.75" customHeight="1" x14ac:dyDescent="0.25">
      <c r="A17" s="75">
        <v>4</v>
      </c>
      <c r="B17" s="76" t="s">
        <v>172</v>
      </c>
      <c r="C17" s="76" t="s">
        <v>173</v>
      </c>
      <c r="D17" s="76" t="s">
        <v>174</v>
      </c>
      <c r="E17" s="76" t="s">
        <v>163</v>
      </c>
      <c r="F17" s="76" t="s">
        <v>175</v>
      </c>
      <c r="G17" s="78">
        <v>50000000</v>
      </c>
      <c r="H17" s="78">
        <v>50000000</v>
      </c>
      <c r="I17" s="116">
        <f>1700000+46775000</f>
        <v>48475000</v>
      </c>
      <c r="J17" s="129">
        <f t="shared" si="0"/>
        <v>96.95</v>
      </c>
      <c r="K17" s="129">
        <v>100</v>
      </c>
      <c r="L17" s="76"/>
      <c r="M17" s="123"/>
      <c r="N17" s="123"/>
      <c r="O17" s="123"/>
      <c r="P17" s="123"/>
      <c r="Q17" s="76"/>
    </row>
    <row r="18" spans="1:17" s="113" customFormat="1" ht="57.75" customHeight="1" x14ac:dyDescent="0.25">
      <c r="A18" s="75">
        <v>5</v>
      </c>
      <c r="B18" s="76" t="s">
        <v>176</v>
      </c>
      <c r="C18" s="76" t="s">
        <v>177</v>
      </c>
      <c r="D18" s="76" t="s">
        <v>178</v>
      </c>
      <c r="E18" s="76" t="s">
        <v>154</v>
      </c>
      <c r="F18" s="76" t="s">
        <v>155</v>
      </c>
      <c r="G18" s="79">
        <v>50000000</v>
      </c>
      <c r="H18" s="79">
        <v>50000000</v>
      </c>
      <c r="I18" s="116">
        <f>27579000+22421000</f>
        <v>50000000</v>
      </c>
      <c r="J18" s="118">
        <f t="shared" si="0"/>
        <v>100</v>
      </c>
      <c r="K18" s="118">
        <v>100</v>
      </c>
      <c r="L18" s="76"/>
      <c r="M18" s="123"/>
      <c r="N18" s="123"/>
      <c r="O18" s="123"/>
      <c r="P18" s="123"/>
      <c r="Q18" s="76"/>
    </row>
    <row r="19" spans="1:17" s="113" customFormat="1" ht="28.5" customHeight="1" x14ac:dyDescent="0.25">
      <c r="A19" s="75">
        <v>6</v>
      </c>
      <c r="B19" s="213" t="s">
        <v>179</v>
      </c>
      <c r="C19" s="76" t="s">
        <v>180</v>
      </c>
      <c r="D19" s="76" t="s">
        <v>181</v>
      </c>
      <c r="E19" s="76" t="s">
        <v>154</v>
      </c>
      <c r="F19" s="76" t="s">
        <v>182</v>
      </c>
      <c r="G19" s="79">
        <v>100000000</v>
      </c>
      <c r="H19" s="79">
        <v>100000000</v>
      </c>
      <c r="I19" s="116">
        <f>41684000+39896000+13000000</f>
        <v>94580000</v>
      </c>
      <c r="J19" s="130">
        <f t="shared" si="0"/>
        <v>94.58</v>
      </c>
      <c r="K19" s="130">
        <v>100</v>
      </c>
      <c r="L19" s="76"/>
      <c r="M19" s="123"/>
      <c r="N19" s="123"/>
      <c r="O19" s="123"/>
      <c r="P19" s="123"/>
      <c r="Q19" s="76"/>
    </row>
    <row r="20" spans="1:17" s="113" customFormat="1" ht="16.5" customHeight="1" x14ac:dyDescent="0.25">
      <c r="A20" s="108"/>
      <c r="B20" s="214"/>
      <c r="C20" s="76" t="s">
        <v>183</v>
      </c>
      <c r="D20" s="76" t="s">
        <v>184</v>
      </c>
      <c r="E20" s="131"/>
      <c r="F20" s="131"/>
      <c r="G20" s="80"/>
      <c r="H20" s="80"/>
      <c r="I20" s="132"/>
      <c r="J20" s="129"/>
      <c r="K20" s="129"/>
      <c r="L20" s="131"/>
      <c r="M20" s="109"/>
      <c r="N20" s="109"/>
      <c r="O20" s="109"/>
      <c r="P20" s="109"/>
      <c r="Q20" s="131"/>
    </row>
    <row r="21" spans="1:17" s="113" customFormat="1" ht="32.25" customHeight="1" x14ac:dyDescent="0.25">
      <c r="A21" s="75">
        <v>7</v>
      </c>
      <c r="B21" s="76" t="s">
        <v>185</v>
      </c>
      <c r="C21" s="133" t="s">
        <v>186</v>
      </c>
      <c r="D21" s="133" t="s">
        <v>187</v>
      </c>
      <c r="E21" s="133" t="s">
        <v>154</v>
      </c>
      <c r="F21" s="133" t="s">
        <v>175</v>
      </c>
      <c r="G21" s="81">
        <v>40000000</v>
      </c>
      <c r="H21" s="81">
        <v>40000000</v>
      </c>
      <c r="I21" s="134">
        <v>38800000</v>
      </c>
      <c r="J21" s="125">
        <f t="shared" si="0"/>
        <v>97</v>
      </c>
      <c r="K21" s="125">
        <v>100</v>
      </c>
      <c r="L21" s="123"/>
      <c r="M21" s="123"/>
      <c r="N21" s="123"/>
      <c r="O21" s="135"/>
      <c r="P21" s="123"/>
      <c r="Q21" s="76"/>
    </row>
    <row r="22" spans="1:17" s="113" customFormat="1" ht="30.75" customHeight="1" x14ac:dyDescent="0.25">
      <c r="A22" s="75">
        <v>8</v>
      </c>
      <c r="B22" s="73" t="s">
        <v>188</v>
      </c>
      <c r="C22" s="76" t="s">
        <v>189</v>
      </c>
      <c r="D22" s="76" t="s">
        <v>190</v>
      </c>
      <c r="E22" s="73" t="s">
        <v>154</v>
      </c>
      <c r="F22" s="76" t="s">
        <v>155</v>
      </c>
      <c r="G22" s="74">
        <v>50000000</v>
      </c>
      <c r="H22" s="74">
        <v>50000000</v>
      </c>
      <c r="I22" s="134">
        <v>0</v>
      </c>
      <c r="J22" s="118">
        <f>I22/G22%</f>
        <v>0</v>
      </c>
      <c r="K22" s="118">
        <v>0</v>
      </c>
      <c r="L22" s="76"/>
      <c r="M22" s="123"/>
      <c r="N22" s="123"/>
      <c r="O22" s="123"/>
      <c r="P22" s="123"/>
      <c r="Q22" s="76"/>
    </row>
    <row r="23" spans="1:17" s="113" customFormat="1" ht="38.25" x14ac:dyDescent="0.25">
      <c r="A23" s="243">
        <v>9</v>
      </c>
      <c r="B23" s="245" t="s">
        <v>191</v>
      </c>
      <c r="C23" s="73" t="s">
        <v>192</v>
      </c>
      <c r="D23" s="73" t="s">
        <v>193</v>
      </c>
      <c r="E23" s="245" t="s">
        <v>163</v>
      </c>
      <c r="F23" s="136" t="s">
        <v>155</v>
      </c>
      <c r="G23" s="82">
        <v>200000000</v>
      </c>
      <c r="H23" s="82">
        <v>250000000</v>
      </c>
      <c r="I23" s="81">
        <v>226983575</v>
      </c>
      <c r="J23" s="130">
        <f>I23/H23%</f>
        <v>90.793430000000001</v>
      </c>
      <c r="K23" s="130">
        <v>100</v>
      </c>
      <c r="L23" s="133" t="s">
        <v>156</v>
      </c>
      <c r="M23" s="137" t="s">
        <v>194</v>
      </c>
      <c r="N23" s="137" t="s">
        <v>195</v>
      </c>
      <c r="O23" s="135">
        <v>78575000</v>
      </c>
      <c r="P23" s="123" t="s">
        <v>196</v>
      </c>
      <c r="Q23" s="76"/>
    </row>
    <row r="24" spans="1:17" s="113" customFormat="1" ht="41.25" customHeight="1" x14ac:dyDescent="0.25">
      <c r="A24" s="211"/>
      <c r="B24" s="213"/>
      <c r="C24" s="76" t="s">
        <v>197</v>
      </c>
      <c r="D24" s="76" t="s">
        <v>198</v>
      </c>
      <c r="E24" s="245"/>
      <c r="F24" s="138"/>
      <c r="G24" s="83"/>
      <c r="H24" s="83"/>
      <c r="I24" s="139"/>
      <c r="J24" s="122"/>
      <c r="K24" s="122"/>
      <c r="L24" s="140"/>
      <c r="M24" s="141"/>
      <c r="N24" s="141"/>
      <c r="O24" s="141"/>
      <c r="P24" s="141"/>
      <c r="Q24" s="140"/>
    </row>
    <row r="25" spans="1:17" s="113" customFormat="1" ht="29.25" customHeight="1" x14ac:dyDescent="0.25">
      <c r="A25" s="89">
        <v>10</v>
      </c>
      <c r="B25" s="84" t="s">
        <v>199</v>
      </c>
      <c r="C25" s="85" t="s">
        <v>200</v>
      </c>
      <c r="D25" s="85" t="s">
        <v>201</v>
      </c>
      <c r="E25" s="85" t="s">
        <v>202</v>
      </c>
      <c r="F25" s="85" t="s">
        <v>155</v>
      </c>
      <c r="G25" s="74">
        <v>25000000</v>
      </c>
      <c r="H25" s="74">
        <v>25000000</v>
      </c>
      <c r="I25" s="142">
        <v>24337500</v>
      </c>
      <c r="J25" s="125">
        <f t="shared" ref="J25:J30" si="1">I25/G25%</f>
        <v>97.35</v>
      </c>
      <c r="K25" s="125">
        <v>100</v>
      </c>
      <c r="L25" s="85" t="s">
        <v>156</v>
      </c>
      <c r="M25" s="126" t="s">
        <v>203</v>
      </c>
      <c r="N25" s="126" t="s">
        <v>204</v>
      </c>
      <c r="O25" s="127">
        <v>9850000</v>
      </c>
      <c r="P25" s="128" t="s">
        <v>171</v>
      </c>
      <c r="Q25" s="73"/>
    </row>
    <row r="26" spans="1:17" s="113" customFormat="1" ht="69" customHeight="1" x14ac:dyDescent="0.25">
      <c r="A26" s="89">
        <v>11</v>
      </c>
      <c r="B26" s="84" t="s">
        <v>205</v>
      </c>
      <c r="C26" s="73" t="s">
        <v>205</v>
      </c>
      <c r="D26" s="73" t="s">
        <v>206</v>
      </c>
      <c r="E26" s="133" t="s">
        <v>207</v>
      </c>
      <c r="F26" s="73" t="s">
        <v>175</v>
      </c>
      <c r="G26" s="74">
        <v>50000000</v>
      </c>
      <c r="H26" s="74">
        <v>50000000</v>
      </c>
      <c r="I26" s="134">
        <f>27600000+22120000</f>
        <v>49720000</v>
      </c>
      <c r="J26" s="125">
        <f t="shared" si="1"/>
        <v>99.44</v>
      </c>
      <c r="K26" s="125">
        <v>100</v>
      </c>
      <c r="L26" s="85" t="s">
        <v>156</v>
      </c>
      <c r="M26" s="126" t="s">
        <v>208</v>
      </c>
      <c r="N26" s="126" t="s">
        <v>209</v>
      </c>
      <c r="O26" s="127">
        <v>22120000</v>
      </c>
      <c r="P26" s="128" t="s">
        <v>210</v>
      </c>
      <c r="Q26" s="73"/>
    </row>
    <row r="27" spans="1:17" s="113" customFormat="1" ht="29.25" customHeight="1" x14ac:dyDescent="0.25">
      <c r="A27" s="89">
        <v>12</v>
      </c>
      <c r="B27" s="85" t="s">
        <v>211</v>
      </c>
      <c r="C27" s="85" t="s">
        <v>211</v>
      </c>
      <c r="D27" s="85" t="s">
        <v>212</v>
      </c>
      <c r="E27" s="133" t="s">
        <v>213</v>
      </c>
      <c r="F27" s="133" t="s">
        <v>155</v>
      </c>
      <c r="G27" s="81">
        <v>40000000</v>
      </c>
      <c r="H27" s="81">
        <v>40000000</v>
      </c>
      <c r="I27" s="134">
        <f>20000000+19650000</f>
        <v>39650000</v>
      </c>
      <c r="J27" s="125">
        <f t="shared" si="1"/>
        <v>99.125</v>
      </c>
      <c r="K27" s="125">
        <v>100</v>
      </c>
      <c r="L27" s="85" t="s">
        <v>156</v>
      </c>
      <c r="M27" s="126" t="s">
        <v>214</v>
      </c>
      <c r="N27" s="126" t="s">
        <v>215</v>
      </c>
      <c r="O27" s="127">
        <v>19650000</v>
      </c>
      <c r="P27" s="128" t="s">
        <v>171</v>
      </c>
      <c r="Q27" s="85"/>
    </row>
    <row r="28" spans="1:17" s="113" customFormat="1" ht="42.75" customHeight="1" x14ac:dyDescent="0.25">
      <c r="A28" s="89">
        <v>13</v>
      </c>
      <c r="B28" s="85" t="s">
        <v>216</v>
      </c>
      <c r="C28" s="85" t="s">
        <v>216</v>
      </c>
      <c r="D28" s="85" t="s">
        <v>201</v>
      </c>
      <c r="E28" s="85" t="s">
        <v>217</v>
      </c>
      <c r="F28" s="85" t="s">
        <v>155</v>
      </c>
      <c r="G28" s="74">
        <v>25000000</v>
      </c>
      <c r="H28" s="74">
        <v>25000000</v>
      </c>
      <c r="I28" s="142">
        <f>9800000+14470000</f>
        <v>24270000</v>
      </c>
      <c r="J28" s="125">
        <f t="shared" si="1"/>
        <v>97.08</v>
      </c>
      <c r="K28" s="125">
        <v>100</v>
      </c>
      <c r="L28" s="85" t="s">
        <v>156</v>
      </c>
      <c r="M28" s="126" t="s">
        <v>203</v>
      </c>
      <c r="N28" s="126" t="s">
        <v>218</v>
      </c>
      <c r="O28" s="127">
        <v>9800000</v>
      </c>
      <c r="P28" s="128" t="s">
        <v>171</v>
      </c>
      <c r="Q28" s="85"/>
    </row>
    <row r="29" spans="1:17" s="113" customFormat="1" ht="71.25" customHeight="1" x14ac:dyDescent="0.25">
      <c r="A29" s="89">
        <v>14</v>
      </c>
      <c r="B29" s="85" t="s">
        <v>219</v>
      </c>
      <c r="C29" s="85" t="s">
        <v>220</v>
      </c>
      <c r="D29" s="85" t="s">
        <v>221</v>
      </c>
      <c r="E29" s="85" t="s">
        <v>222</v>
      </c>
      <c r="F29" s="85" t="s">
        <v>155</v>
      </c>
      <c r="G29" s="74">
        <v>75000000</v>
      </c>
      <c r="H29" s="74">
        <v>75000000</v>
      </c>
      <c r="I29" s="142">
        <f>37250000+37400000</f>
        <v>74650000</v>
      </c>
      <c r="J29" s="125">
        <f t="shared" si="1"/>
        <v>99.533333333333331</v>
      </c>
      <c r="K29" s="125">
        <v>100</v>
      </c>
      <c r="L29" s="73" t="s">
        <v>156</v>
      </c>
      <c r="M29" s="126" t="s">
        <v>214</v>
      </c>
      <c r="N29" s="126" t="s">
        <v>215</v>
      </c>
      <c r="O29" s="127">
        <v>37400000</v>
      </c>
      <c r="P29" s="128" t="s">
        <v>171</v>
      </c>
      <c r="Q29" s="85"/>
    </row>
    <row r="30" spans="1:17" s="113" customFormat="1" ht="25.5" x14ac:dyDescent="0.25">
      <c r="A30" s="211">
        <v>15</v>
      </c>
      <c r="B30" s="213" t="s">
        <v>223</v>
      </c>
      <c r="C30" s="86" t="s">
        <v>224</v>
      </c>
      <c r="D30" s="213" t="s">
        <v>225</v>
      </c>
      <c r="E30" s="213" t="s">
        <v>226</v>
      </c>
      <c r="F30" s="213" t="s">
        <v>227</v>
      </c>
      <c r="G30" s="219">
        <v>50000000</v>
      </c>
      <c r="H30" s="219">
        <v>50000000</v>
      </c>
      <c r="I30" s="258">
        <v>49900000</v>
      </c>
      <c r="J30" s="208">
        <f t="shared" si="1"/>
        <v>99.8</v>
      </c>
      <c r="K30" s="208">
        <v>100</v>
      </c>
      <c r="L30" s="213" t="s">
        <v>156</v>
      </c>
      <c r="M30" s="248" t="s">
        <v>228</v>
      </c>
      <c r="N30" s="248" t="s">
        <v>229</v>
      </c>
      <c r="O30" s="221">
        <v>12900000</v>
      </c>
      <c r="P30" s="248" t="s">
        <v>210</v>
      </c>
      <c r="Q30" s="143"/>
    </row>
    <row r="31" spans="1:17" s="113" customFormat="1" ht="27.75" customHeight="1" x14ac:dyDescent="0.25">
      <c r="A31" s="212"/>
      <c r="B31" s="214"/>
      <c r="C31" s="86" t="s">
        <v>230</v>
      </c>
      <c r="D31" s="214"/>
      <c r="E31" s="214"/>
      <c r="F31" s="214"/>
      <c r="G31" s="220"/>
      <c r="H31" s="220"/>
      <c r="I31" s="260"/>
      <c r="J31" s="236"/>
      <c r="K31" s="236"/>
      <c r="L31" s="214"/>
      <c r="M31" s="250"/>
      <c r="N31" s="250"/>
      <c r="O31" s="222"/>
      <c r="P31" s="250"/>
      <c r="Q31" s="143"/>
    </row>
    <row r="32" spans="1:17" s="113" customFormat="1" ht="18.75" customHeight="1" x14ac:dyDescent="0.25">
      <c r="A32" s="211">
        <v>16</v>
      </c>
      <c r="B32" s="213" t="s">
        <v>231</v>
      </c>
      <c r="C32" s="86" t="s">
        <v>232</v>
      </c>
      <c r="D32" s="85" t="s">
        <v>233</v>
      </c>
      <c r="E32" s="217" t="s">
        <v>234</v>
      </c>
      <c r="F32" s="76" t="s">
        <v>235</v>
      </c>
      <c r="G32" s="219">
        <v>100000000</v>
      </c>
      <c r="H32" s="219">
        <v>100000000</v>
      </c>
      <c r="I32" s="258">
        <f>52640000+43080000+4070000</f>
        <v>99790000</v>
      </c>
      <c r="J32" s="234">
        <f>I32/G32%</f>
        <v>99.79</v>
      </c>
      <c r="K32" s="234">
        <v>100</v>
      </c>
      <c r="L32" s="213" t="s">
        <v>156</v>
      </c>
      <c r="M32" s="251" t="s">
        <v>236</v>
      </c>
      <c r="N32" s="251" t="s">
        <v>237</v>
      </c>
      <c r="O32" s="221">
        <v>52640000</v>
      </c>
      <c r="P32" s="248" t="s">
        <v>210</v>
      </c>
      <c r="Q32" s="144"/>
    </row>
    <row r="33" spans="1:17" s="113" customFormat="1" ht="17.25" customHeight="1" x14ac:dyDescent="0.25">
      <c r="A33" s="223"/>
      <c r="B33" s="224"/>
      <c r="C33" s="86" t="s">
        <v>238</v>
      </c>
      <c r="D33" s="85" t="s">
        <v>212</v>
      </c>
      <c r="E33" s="257"/>
      <c r="F33" s="140"/>
      <c r="G33" s="238"/>
      <c r="H33" s="238"/>
      <c r="I33" s="259"/>
      <c r="J33" s="235"/>
      <c r="K33" s="235"/>
      <c r="L33" s="224"/>
      <c r="M33" s="252"/>
      <c r="N33" s="252"/>
      <c r="O33" s="225"/>
      <c r="P33" s="249"/>
      <c r="Q33" s="143"/>
    </row>
    <row r="34" spans="1:17" s="113" customFormat="1" ht="21.75" customHeight="1" x14ac:dyDescent="0.25">
      <c r="A34" s="212"/>
      <c r="B34" s="214"/>
      <c r="C34" s="86" t="s">
        <v>239</v>
      </c>
      <c r="D34" s="85" t="s">
        <v>240</v>
      </c>
      <c r="E34" s="218"/>
      <c r="F34" s="140"/>
      <c r="G34" s="220"/>
      <c r="H34" s="220"/>
      <c r="I34" s="260"/>
      <c r="J34" s="235"/>
      <c r="K34" s="235"/>
      <c r="L34" s="214"/>
      <c r="M34" s="253"/>
      <c r="N34" s="253"/>
      <c r="O34" s="222"/>
      <c r="P34" s="250"/>
      <c r="Q34" s="143"/>
    </row>
    <row r="35" spans="1:17" s="113" customFormat="1" ht="29.25" customHeight="1" x14ac:dyDescent="0.25">
      <c r="A35" s="211">
        <v>17</v>
      </c>
      <c r="B35" s="213" t="s">
        <v>241</v>
      </c>
      <c r="C35" s="86" t="s">
        <v>242</v>
      </c>
      <c r="D35" s="85" t="s">
        <v>243</v>
      </c>
      <c r="E35" s="213" t="s">
        <v>244</v>
      </c>
      <c r="F35" s="133" t="s">
        <v>245</v>
      </c>
      <c r="G35" s="219">
        <v>200000000</v>
      </c>
      <c r="H35" s="219">
        <v>200000000</v>
      </c>
      <c r="I35" s="254">
        <f>184420000+3650000+3650000</f>
        <v>191720000</v>
      </c>
      <c r="J35" s="208">
        <f>I35/G35%</f>
        <v>95.86</v>
      </c>
      <c r="K35" s="208">
        <v>100</v>
      </c>
      <c r="L35" s="213" t="s">
        <v>156</v>
      </c>
      <c r="M35" s="251" t="s">
        <v>228</v>
      </c>
      <c r="N35" s="251" t="s">
        <v>246</v>
      </c>
      <c r="O35" s="221">
        <v>104270000</v>
      </c>
      <c r="P35" s="248" t="s">
        <v>210</v>
      </c>
      <c r="Q35" s="133"/>
    </row>
    <row r="36" spans="1:17" s="113" customFormat="1" ht="18.75" customHeight="1" x14ac:dyDescent="0.25">
      <c r="A36" s="223"/>
      <c r="B36" s="224"/>
      <c r="C36" s="86" t="s">
        <v>247</v>
      </c>
      <c r="D36" s="85" t="s">
        <v>201</v>
      </c>
      <c r="E36" s="224"/>
      <c r="F36" s="120"/>
      <c r="G36" s="238"/>
      <c r="H36" s="238"/>
      <c r="I36" s="255"/>
      <c r="J36" s="209"/>
      <c r="K36" s="209"/>
      <c r="L36" s="224"/>
      <c r="M36" s="252"/>
      <c r="N36" s="252"/>
      <c r="O36" s="225"/>
      <c r="P36" s="249"/>
      <c r="Q36" s="120"/>
    </row>
    <row r="37" spans="1:17" s="113" customFormat="1" ht="30" customHeight="1" x14ac:dyDescent="0.25">
      <c r="A37" s="223"/>
      <c r="B37" s="224"/>
      <c r="C37" s="86" t="s">
        <v>248</v>
      </c>
      <c r="D37" s="85" t="s">
        <v>201</v>
      </c>
      <c r="E37" s="224"/>
      <c r="F37" s="120"/>
      <c r="G37" s="238"/>
      <c r="H37" s="238"/>
      <c r="I37" s="255"/>
      <c r="J37" s="209"/>
      <c r="K37" s="209"/>
      <c r="L37" s="224"/>
      <c r="M37" s="252"/>
      <c r="N37" s="252"/>
      <c r="O37" s="225"/>
      <c r="P37" s="249"/>
      <c r="Q37" s="120"/>
    </row>
    <row r="38" spans="1:17" s="113" customFormat="1" ht="43.5" customHeight="1" x14ac:dyDescent="0.25">
      <c r="A38" s="212"/>
      <c r="B38" s="214"/>
      <c r="C38" s="86" t="s">
        <v>249</v>
      </c>
      <c r="D38" s="85" t="s">
        <v>201</v>
      </c>
      <c r="E38" s="214"/>
      <c r="F38" s="86"/>
      <c r="G38" s="220"/>
      <c r="H38" s="220"/>
      <c r="I38" s="256"/>
      <c r="J38" s="210"/>
      <c r="K38" s="210"/>
      <c r="L38" s="214"/>
      <c r="M38" s="253"/>
      <c r="N38" s="253"/>
      <c r="O38" s="222"/>
      <c r="P38" s="250"/>
      <c r="Q38" s="86"/>
    </row>
    <row r="39" spans="1:17" s="113" customFormat="1" ht="41.25" customHeight="1" x14ac:dyDescent="0.25">
      <c r="A39" s="108">
        <v>18</v>
      </c>
      <c r="B39" s="131" t="s">
        <v>250</v>
      </c>
      <c r="C39" s="86" t="s">
        <v>161</v>
      </c>
      <c r="D39" s="85"/>
      <c r="E39" s="145" t="s">
        <v>163</v>
      </c>
      <c r="F39" s="86" t="s">
        <v>175</v>
      </c>
      <c r="G39" s="146"/>
      <c r="H39" s="146">
        <v>200000000</v>
      </c>
      <c r="I39" s="147">
        <v>199729775</v>
      </c>
      <c r="J39" s="125">
        <f>I39/H39%</f>
        <v>99.864887499999995</v>
      </c>
      <c r="K39" s="125">
        <v>100</v>
      </c>
      <c r="L39" s="131" t="s">
        <v>156</v>
      </c>
      <c r="M39" s="126" t="s">
        <v>194</v>
      </c>
      <c r="N39" s="126" t="s">
        <v>195</v>
      </c>
      <c r="O39" s="127">
        <v>196182000</v>
      </c>
      <c r="P39" s="128" t="s">
        <v>251</v>
      </c>
      <c r="Q39" s="86"/>
    </row>
    <row r="40" spans="1:17" s="113" customFormat="1" ht="41.25" customHeight="1" x14ac:dyDescent="0.25">
      <c r="A40" s="108">
        <v>19</v>
      </c>
      <c r="B40" s="131" t="s">
        <v>252</v>
      </c>
      <c r="C40" s="86" t="s">
        <v>253</v>
      </c>
      <c r="D40" s="85" t="s">
        <v>254</v>
      </c>
      <c r="E40" s="145" t="s">
        <v>255</v>
      </c>
      <c r="F40" s="86" t="s">
        <v>155</v>
      </c>
      <c r="G40" s="146"/>
      <c r="H40" s="146">
        <v>50000000</v>
      </c>
      <c r="I40" s="147">
        <f>31020000+18450000</f>
        <v>49470000</v>
      </c>
      <c r="J40" s="125">
        <f t="shared" ref="J40:J54" si="2">I40/H40%</f>
        <v>98.94</v>
      </c>
      <c r="K40" s="125">
        <v>100</v>
      </c>
      <c r="L40" s="73" t="s">
        <v>156</v>
      </c>
      <c r="M40" s="126" t="s">
        <v>208</v>
      </c>
      <c r="N40" s="126" t="s">
        <v>209</v>
      </c>
      <c r="O40" s="127">
        <v>18450000</v>
      </c>
      <c r="P40" s="128" t="s">
        <v>171</v>
      </c>
      <c r="Q40" s="86"/>
    </row>
    <row r="41" spans="1:17" s="113" customFormat="1" ht="29.25" customHeight="1" x14ac:dyDescent="0.25">
      <c r="A41" s="108">
        <v>20</v>
      </c>
      <c r="B41" s="131" t="s">
        <v>256</v>
      </c>
      <c r="C41" s="86" t="s">
        <v>256</v>
      </c>
      <c r="D41" s="85" t="s">
        <v>254</v>
      </c>
      <c r="E41" s="145" t="s">
        <v>257</v>
      </c>
      <c r="F41" s="86" t="s">
        <v>175</v>
      </c>
      <c r="G41" s="146"/>
      <c r="H41" s="146">
        <v>40000000</v>
      </c>
      <c r="I41" s="147">
        <v>39859000</v>
      </c>
      <c r="J41" s="125">
        <f t="shared" si="2"/>
        <v>99.647499999999994</v>
      </c>
      <c r="K41" s="125">
        <v>100</v>
      </c>
      <c r="L41" s="131"/>
      <c r="M41" s="148"/>
      <c r="N41" s="148"/>
      <c r="O41" s="149"/>
      <c r="P41" s="109"/>
      <c r="Q41" s="86"/>
    </row>
    <row r="42" spans="1:17" s="113" customFormat="1" ht="38.25" x14ac:dyDescent="0.25">
      <c r="A42" s="108">
        <v>21</v>
      </c>
      <c r="B42" s="131" t="s">
        <v>258</v>
      </c>
      <c r="C42" s="86" t="s">
        <v>259</v>
      </c>
      <c r="D42" s="85" t="s">
        <v>260</v>
      </c>
      <c r="E42" s="145" t="s">
        <v>261</v>
      </c>
      <c r="F42" s="86" t="s">
        <v>175</v>
      </c>
      <c r="G42" s="146"/>
      <c r="H42" s="146">
        <v>47500000</v>
      </c>
      <c r="I42" s="147">
        <f>31430000+14950000</f>
        <v>46380000</v>
      </c>
      <c r="J42" s="125">
        <f t="shared" si="2"/>
        <v>97.642105263157902</v>
      </c>
      <c r="K42" s="125">
        <v>100</v>
      </c>
      <c r="L42" s="73" t="s">
        <v>156</v>
      </c>
      <c r="M42" s="126" t="s">
        <v>262</v>
      </c>
      <c r="N42" s="126" t="s">
        <v>263</v>
      </c>
      <c r="O42" s="127">
        <v>14950000</v>
      </c>
      <c r="P42" s="128" t="s">
        <v>171</v>
      </c>
      <c r="Q42" s="86"/>
    </row>
    <row r="43" spans="1:17" s="113" customFormat="1" ht="79.5" customHeight="1" x14ac:dyDescent="0.25">
      <c r="A43" s="108">
        <v>22</v>
      </c>
      <c r="B43" s="131" t="s">
        <v>264</v>
      </c>
      <c r="C43" s="86" t="s">
        <v>265</v>
      </c>
      <c r="D43" s="85" t="s">
        <v>266</v>
      </c>
      <c r="E43" s="145" t="s">
        <v>267</v>
      </c>
      <c r="F43" s="86" t="s">
        <v>268</v>
      </c>
      <c r="G43" s="146"/>
      <c r="H43" s="146">
        <v>142677000</v>
      </c>
      <c r="I43" s="147">
        <v>140837000</v>
      </c>
      <c r="J43" s="125">
        <f t="shared" si="2"/>
        <v>98.710373781338262</v>
      </c>
      <c r="K43" s="125">
        <v>100</v>
      </c>
      <c r="L43" s="73" t="s">
        <v>156</v>
      </c>
      <c r="M43" s="126" t="s">
        <v>269</v>
      </c>
      <c r="N43" s="126" t="s">
        <v>262</v>
      </c>
      <c r="O43" s="127">
        <v>67760000</v>
      </c>
      <c r="P43" s="128" t="s">
        <v>171</v>
      </c>
      <c r="Q43" s="86"/>
    </row>
    <row r="44" spans="1:17" s="113" customFormat="1" ht="38.25" x14ac:dyDescent="0.25">
      <c r="A44" s="108">
        <v>23</v>
      </c>
      <c r="B44" s="131" t="s">
        <v>270</v>
      </c>
      <c r="C44" s="86" t="s">
        <v>271</v>
      </c>
      <c r="D44" s="85" t="s">
        <v>272</v>
      </c>
      <c r="E44" s="145" t="s">
        <v>257</v>
      </c>
      <c r="F44" s="86" t="s">
        <v>175</v>
      </c>
      <c r="G44" s="146"/>
      <c r="H44" s="146">
        <v>64000000</v>
      </c>
      <c r="I44" s="147">
        <f>49174000+14572000</f>
        <v>63746000</v>
      </c>
      <c r="J44" s="125">
        <f t="shared" si="2"/>
        <v>99.603125000000006</v>
      </c>
      <c r="K44" s="125">
        <v>100</v>
      </c>
      <c r="L44" s="73" t="s">
        <v>156</v>
      </c>
      <c r="M44" s="126" t="s">
        <v>273</v>
      </c>
      <c r="N44" s="126" t="s">
        <v>274</v>
      </c>
      <c r="O44" s="127">
        <v>14572000</v>
      </c>
      <c r="P44" s="128" t="s">
        <v>275</v>
      </c>
      <c r="Q44" s="86"/>
    </row>
    <row r="45" spans="1:17" s="113" customFormat="1" ht="38.25" x14ac:dyDescent="0.25">
      <c r="A45" s="108">
        <v>24</v>
      </c>
      <c r="B45" s="131" t="s">
        <v>276</v>
      </c>
      <c r="C45" s="86" t="s">
        <v>277</v>
      </c>
      <c r="D45" s="85" t="s">
        <v>260</v>
      </c>
      <c r="E45" s="145" t="s">
        <v>278</v>
      </c>
      <c r="F45" s="86" t="s">
        <v>175</v>
      </c>
      <c r="G45" s="146"/>
      <c r="H45" s="146">
        <v>40000000</v>
      </c>
      <c r="I45" s="147">
        <f>18000000+21802000</f>
        <v>39802000</v>
      </c>
      <c r="J45" s="125">
        <f t="shared" si="2"/>
        <v>99.504999999999995</v>
      </c>
      <c r="K45" s="125">
        <v>100</v>
      </c>
      <c r="L45" s="73" t="s">
        <v>156</v>
      </c>
      <c r="M45" s="126" t="s">
        <v>273</v>
      </c>
      <c r="N45" s="126" t="s">
        <v>274</v>
      </c>
      <c r="O45" s="127">
        <v>21802000</v>
      </c>
      <c r="P45" s="128" t="s">
        <v>275</v>
      </c>
      <c r="Q45" s="86"/>
    </row>
    <row r="46" spans="1:17" s="113" customFormat="1" ht="54.75" customHeight="1" x14ac:dyDescent="0.25">
      <c r="A46" s="108">
        <v>25</v>
      </c>
      <c r="B46" s="131" t="s">
        <v>279</v>
      </c>
      <c r="C46" s="86" t="s">
        <v>280</v>
      </c>
      <c r="D46" s="85" t="s">
        <v>281</v>
      </c>
      <c r="E46" s="145" t="s">
        <v>282</v>
      </c>
      <c r="F46" s="86" t="s">
        <v>182</v>
      </c>
      <c r="G46" s="146"/>
      <c r="H46" s="146">
        <v>200000000</v>
      </c>
      <c r="I46" s="147">
        <f>81050000+38390000+75430000</f>
        <v>194870000</v>
      </c>
      <c r="J46" s="125">
        <f t="shared" si="2"/>
        <v>97.435000000000002</v>
      </c>
      <c r="K46" s="125">
        <v>100</v>
      </c>
      <c r="L46" s="73" t="s">
        <v>156</v>
      </c>
      <c r="M46" s="126" t="s">
        <v>283</v>
      </c>
      <c r="N46" s="126" t="s">
        <v>284</v>
      </c>
      <c r="O46" s="127">
        <f>38390000+75430000</f>
        <v>113820000</v>
      </c>
      <c r="P46" s="128" t="s">
        <v>285</v>
      </c>
      <c r="Q46" s="86"/>
    </row>
    <row r="47" spans="1:17" s="113" customFormat="1" ht="42" customHeight="1" x14ac:dyDescent="0.25">
      <c r="A47" s="89">
        <v>26</v>
      </c>
      <c r="B47" s="73" t="s">
        <v>286</v>
      </c>
      <c r="C47" s="85" t="s">
        <v>287</v>
      </c>
      <c r="D47" s="85"/>
      <c r="E47" s="95" t="s">
        <v>163</v>
      </c>
      <c r="F47" s="85"/>
      <c r="G47" s="74"/>
      <c r="H47" s="74">
        <v>100000000</v>
      </c>
      <c r="I47" s="184">
        <v>99693000</v>
      </c>
      <c r="J47" s="125">
        <f t="shared" si="2"/>
        <v>99.692999999999998</v>
      </c>
      <c r="K47" s="125">
        <v>100</v>
      </c>
      <c r="L47" s="73" t="s">
        <v>156</v>
      </c>
      <c r="M47" s="126" t="s">
        <v>194</v>
      </c>
      <c r="N47" s="126" t="s">
        <v>288</v>
      </c>
      <c r="O47" s="127">
        <v>22043000</v>
      </c>
      <c r="P47" s="128" t="s">
        <v>196</v>
      </c>
      <c r="Q47" s="85"/>
    </row>
    <row r="48" spans="1:17" s="113" customFormat="1" ht="38.25" x14ac:dyDescent="0.25">
      <c r="A48" s="89">
        <v>27</v>
      </c>
      <c r="B48" s="73" t="s">
        <v>289</v>
      </c>
      <c r="C48" s="85" t="s">
        <v>290</v>
      </c>
      <c r="D48" s="85" t="s">
        <v>233</v>
      </c>
      <c r="E48" s="95" t="s">
        <v>291</v>
      </c>
      <c r="F48" s="85" t="s">
        <v>155</v>
      </c>
      <c r="G48" s="74"/>
      <c r="H48" s="74">
        <v>50000000</v>
      </c>
      <c r="I48" s="184">
        <v>48390000</v>
      </c>
      <c r="J48" s="125">
        <f t="shared" si="2"/>
        <v>96.78</v>
      </c>
      <c r="K48" s="125">
        <v>100</v>
      </c>
      <c r="L48" s="73" t="s">
        <v>156</v>
      </c>
      <c r="M48" s="126" t="s">
        <v>292</v>
      </c>
      <c r="N48" s="126" t="s">
        <v>293</v>
      </c>
      <c r="O48" s="127">
        <v>48390000</v>
      </c>
      <c r="P48" s="128" t="s">
        <v>171</v>
      </c>
      <c r="Q48" s="85"/>
    </row>
    <row r="49" spans="1:17" s="113" customFormat="1" ht="54.75" customHeight="1" x14ac:dyDescent="0.25">
      <c r="A49" s="108">
        <v>28</v>
      </c>
      <c r="B49" s="131" t="s">
        <v>294</v>
      </c>
      <c r="C49" s="86" t="s">
        <v>295</v>
      </c>
      <c r="D49" s="85" t="s">
        <v>296</v>
      </c>
      <c r="E49" s="145" t="s">
        <v>297</v>
      </c>
      <c r="F49" s="86" t="s">
        <v>175</v>
      </c>
      <c r="G49" s="146"/>
      <c r="H49" s="146">
        <v>150000000</v>
      </c>
      <c r="I49" s="147">
        <f>33980000+115657000</f>
        <v>149637000</v>
      </c>
      <c r="J49" s="125">
        <f t="shared" si="2"/>
        <v>99.757999999999996</v>
      </c>
      <c r="K49" s="125">
        <v>100</v>
      </c>
      <c r="L49" s="73" t="s">
        <v>156</v>
      </c>
      <c r="M49" s="126" t="s">
        <v>273</v>
      </c>
      <c r="N49" s="126" t="s">
        <v>274</v>
      </c>
      <c r="O49" s="127">
        <v>115657000</v>
      </c>
      <c r="P49" s="128" t="s">
        <v>298</v>
      </c>
      <c r="Q49" s="86"/>
    </row>
    <row r="50" spans="1:17" s="113" customFormat="1" ht="43.5" customHeight="1" x14ac:dyDescent="0.25">
      <c r="A50" s="108">
        <v>29</v>
      </c>
      <c r="B50" s="131" t="s">
        <v>299</v>
      </c>
      <c r="C50" s="86"/>
      <c r="D50" s="85"/>
      <c r="E50" s="145"/>
      <c r="F50" s="86"/>
      <c r="G50" s="146"/>
      <c r="H50" s="146">
        <v>50000000</v>
      </c>
      <c r="I50" s="147">
        <v>49600000</v>
      </c>
      <c r="J50" s="125">
        <f t="shared" si="2"/>
        <v>99.2</v>
      </c>
      <c r="K50" s="125">
        <v>100</v>
      </c>
      <c r="L50" s="131"/>
      <c r="M50" s="148"/>
      <c r="N50" s="148"/>
      <c r="O50" s="149"/>
      <c r="P50" s="109"/>
      <c r="Q50" s="86"/>
    </row>
    <row r="51" spans="1:17" s="113" customFormat="1" ht="42.75" customHeight="1" x14ac:dyDescent="0.25">
      <c r="A51" s="108">
        <v>30</v>
      </c>
      <c r="B51" s="131" t="s">
        <v>300</v>
      </c>
      <c r="C51" s="86" t="s">
        <v>301</v>
      </c>
      <c r="D51" s="85" t="s">
        <v>225</v>
      </c>
      <c r="E51" s="145" t="s">
        <v>302</v>
      </c>
      <c r="F51" s="86" t="s">
        <v>155</v>
      </c>
      <c r="G51" s="146"/>
      <c r="H51" s="146">
        <v>50000000</v>
      </c>
      <c r="I51" s="147">
        <v>49649750</v>
      </c>
      <c r="J51" s="125">
        <f t="shared" si="2"/>
        <v>99.299499999999995</v>
      </c>
      <c r="K51" s="125">
        <v>100</v>
      </c>
      <c r="L51" s="73" t="s">
        <v>156</v>
      </c>
      <c r="M51" s="126" t="s">
        <v>292</v>
      </c>
      <c r="N51" s="126" t="s">
        <v>293</v>
      </c>
      <c r="O51" s="127">
        <v>31520000</v>
      </c>
      <c r="P51" s="128" t="s">
        <v>171</v>
      </c>
      <c r="Q51" s="86"/>
    </row>
    <row r="52" spans="1:17" s="113" customFormat="1" ht="28.5" customHeight="1" x14ac:dyDescent="0.25">
      <c r="A52" s="108">
        <v>31</v>
      </c>
      <c r="B52" s="131" t="s">
        <v>303</v>
      </c>
      <c r="C52" s="86"/>
      <c r="D52" s="85"/>
      <c r="E52" s="145"/>
      <c r="F52" s="86"/>
      <c r="G52" s="146"/>
      <c r="H52" s="146">
        <v>30000000</v>
      </c>
      <c r="I52" s="147">
        <v>29588000</v>
      </c>
      <c r="J52" s="125">
        <f t="shared" si="2"/>
        <v>98.626666666666665</v>
      </c>
      <c r="K52" s="125">
        <v>100</v>
      </c>
      <c r="L52" s="131"/>
      <c r="M52" s="148"/>
      <c r="N52" s="148"/>
      <c r="O52" s="149"/>
      <c r="P52" s="109"/>
      <c r="Q52" s="86"/>
    </row>
    <row r="53" spans="1:17" s="113" customFormat="1" ht="41.25" customHeight="1" x14ac:dyDescent="0.25">
      <c r="A53" s="108">
        <v>32</v>
      </c>
      <c r="B53" s="131" t="s">
        <v>304</v>
      </c>
      <c r="C53" s="86" t="s">
        <v>305</v>
      </c>
      <c r="D53" s="85" t="s">
        <v>306</v>
      </c>
      <c r="E53" s="145" t="s">
        <v>307</v>
      </c>
      <c r="F53" s="86" t="s">
        <v>268</v>
      </c>
      <c r="G53" s="146"/>
      <c r="H53" s="146">
        <v>140000000</v>
      </c>
      <c r="I53" s="147">
        <v>139097000</v>
      </c>
      <c r="J53" s="125">
        <f t="shared" si="2"/>
        <v>99.355000000000004</v>
      </c>
      <c r="K53" s="125">
        <v>100</v>
      </c>
      <c r="L53" s="131" t="s">
        <v>156</v>
      </c>
      <c r="M53" s="148" t="s">
        <v>292</v>
      </c>
      <c r="N53" s="148" t="s">
        <v>293</v>
      </c>
      <c r="O53" s="149">
        <v>80900000</v>
      </c>
      <c r="P53" s="109" t="s">
        <v>171</v>
      </c>
      <c r="Q53" s="86"/>
    </row>
    <row r="54" spans="1:17" s="113" customFormat="1" ht="38.25" x14ac:dyDescent="0.25">
      <c r="A54" s="108">
        <v>33</v>
      </c>
      <c r="B54" s="131" t="s">
        <v>308</v>
      </c>
      <c r="C54" s="86" t="s">
        <v>309</v>
      </c>
      <c r="D54" s="85" t="s">
        <v>272</v>
      </c>
      <c r="E54" s="145" t="s">
        <v>310</v>
      </c>
      <c r="F54" s="86" t="s">
        <v>175</v>
      </c>
      <c r="G54" s="146"/>
      <c r="H54" s="146">
        <v>75000000</v>
      </c>
      <c r="I54" s="147">
        <f>24565000+50132000</f>
        <v>74697000</v>
      </c>
      <c r="J54" s="125">
        <f t="shared" si="2"/>
        <v>99.596000000000004</v>
      </c>
      <c r="K54" s="125">
        <v>100</v>
      </c>
      <c r="L54" s="131" t="s">
        <v>156</v>
      </c>
      <c r="M54" s="148" t="s">
        <v>273</v>
      </c>
      <c r="N54" s="148" t="s">
        <v>274</v>
      </c>
      <c r="O54" s="149">
        <v>50132000</v>
      </c>
      <c r="P54" s="109" t="s">
        <v>275</v>
      </c>
      <c r="Q54" s="86"/>
    </row>
    <row r="55" spans="1:17" s="113" customFormat="1" ht="17.25" customHeight="1" x14ac:dyDescent="0.25">
      <c r="A55" s="114" t="s">
        <v>311</v>
      </c>
      <c r="B55" s="87" t="s">
        <v>1</v>
      </c>
      <c r="C55" s="150"/>
      <c r="D55" s="85"/>
      <c r="E55" s="85"/>
      <c r="F55" s="85"/>
      <c r="G55" s="88">
        <f>SUM(G56:G60)</f>
        <v>960000000</v>
      </c>
      <c r="H55" s="88">
        <f>SUM(H56:H60)</f>
        <v>232652800</v>
      </c>
      <c r="I55" s="88">
        <f>SUM(I56:I60)</f>
        <v>211200873</v>
      </c>
      <c r="J55" s="111">
        <f>I55/H55%</f>
        <v>90.779424533038068</v>
      </c>
      <c r="K55" s="111">
        <v>100</v>
      </c>
      <c r="L55" s="85"/>
      <c r="M55" s="128"/>
      <c r="N55" s="128"/>
      <c r="O55" s="128"/>
      <c r="P55" s="128"/>
      <c r="Q55" s="85"/>
    </row>
    <row r="56" spans="1:17" s="113" customFormat="1" ht="28.5" customHeight="1" x14ac:dyDescent="0.25">
      <c r="A56" s="89">
        <v>1</v>
      </c>
      <c r="B56" s="73" t="s">
        <v>312</v>
      </c>
      <c r="C56" s="73" t="s">
        <v>313</v>
      </c>
      <c r="D56" s="73" t="s">
        <v>206</v>
      </c>
      <c r="E56" s="73" t="s">
        <v>154</v>
      </c>
      <c r="F56" s="73" t="s">
        <v>314</v>
      </c>
      <c r="G56" s="74">
        <v>75000000</v>
      </c>
      <c r="H56" s="74">
        <v>75000000</v>
      </c>
      <c r="I56" s="91">
        <v>53944000</v>
      </c>
      <c r="J56" s="129">
        <f t="shared" si="0"/>
        <v>71.925333333333327</v>
      </c>
      <c r="K56" s="129">
        <v>100</v>
      </c>
      <c r="L56" s="85"/>
      <c r="M56" s="128"/>
      <c r="N56" s="128"/>
      <c r="O56" s="128"/>
      <c r="P56" s="128"/>
      <c r="Q56" s="85"/>
    </row>
    <row r="57" spans="1:17" s="113" customFormat="1" ht="54.75" customHeight="1" x14ac:dyDescent="0.25">
      <c r="A57" s="89">
        <v>2</v>
      </c>
      <c r="B57" s="73" t="s">
        <v>315</v>
      </c>
      <c r="C57" s="73" t="s">
        <v>316</v>
      </c>
      <c r="D57" s="73" t="s">
        <v>240</v>
      </c>
      <c r="E57" s="73" t="s">
        <v>163</v>
      </c>
      <c r="F57" s="73" t="s">
        <v>175</v>
      </c>
      <c r="G57" s="74">
        <v>75000000</v>
      </c>
      <c r="H57" s="74">
        <v>75000000</v>
      </c>
      <c r="I57" s="91">
        <f>12496500+62303500</f>
        <v>74800000</v>
      </c>
      <c r="J57" s="129">
        <f t="shared" si="0"/>
        <v>99.733333333333334</v>
      </c>
      <c r="K57" s="129">
        <v>100</v>
      </c>
      <c r="L57" s="85" t="s">
        <v>156</v>
      </c>
      <c r="M57" s="128" t="s">
        <v>317</v>
      </c>
      <c r="N57" s="128" t="s">
        <v>318</v>
      </c>
      <c r="O57" s="90">
        <v>17800000</v>
      </c>
      <c r="P57" s="128" t="s">
        <v>171</v>
      </c>
      <c r="Q57" s="85"/>
    </row>
    <row r="58" spans="1:17" s="113" customFormat="1" ht="31.5" customHeight="1" x14ac:dyDescent="0.25">
      <c r="A58" s="89">
        <v>3</v>
      </c>
      <c r="B58" s="73" t="s">
        <v>319</v>
      </c>
      <c r="C58" s="73" t="s">
        <v>320</v>
      </c>
      <c r="D58" s="73" t="s">
        <v>321</v>
      </c>
      <c r="E58" s="73" t="s">
        <v>154</v>
      </c>
      <c r="F58" s="73" t="s">
        <v>175</v>
      </c>
      <c r="G58" s="74">
        <v>50000000</v>
      </c>
      <c r="H58" s="74">
        <v>50000000</v>
      </c>
      <c r="I58" s="91">
        <v>49804073</v>
      </c>
      <c r="J58" s="129">
        <f>I58/G58%</f>
        <v>99.608146000000005</v>
      </c>
      <c r="K58" s="129">
        <v>100</v>
      </c>
      <c r="L58" s="133"/>
      <c r="M58" s="123"/>
      <c r="N58" s="123"/>
      <c r="O58" s="123"/>
      <c r="P58" s="123"/>
      <c r="Q58" s="133"/>
    </row>
    <row r="59" spans="1:17" s="113" customFormat="1" ht="28.5" customHeight="1" x14ac:dyDescent="0.25">
      <c r="A59" s="75">
        <v>4</v>
      </c>
      <c r="B59" s="76" t="s">
        <v>322</v>
      </c>
      <c r="C59" s="76" t="s">
        <v>323</v>
      </c>
      <c r="D59" s="76" t="s">
        <v>324</v>
      </c>
      <c r="E59" s="73" t="s">
        <v>154</v>
      </c>
      <c r="F59" s="76" t="s">
        <v>175</v>
      </c>
      <c r="G59" s="81">
        <v>200000000</v>
      </c>
      <c r="H59" s="81">
        <v>3764900</v>
      </c>
      <c r="I59" s="135">
        <f>3064900+700000</f>
        <v>3764900</v>
      </c>
      <c r="J59" s="92">
        <f>I59/H59%</f>
        <v>100</v>
      </c>
      <c r="K59" s="92">
        <v>100</v>
      </c>
      <c r="L59" s="85"/>
      <c r="M59" s="151"/>
      <c r="N59" s="128"/>
      <c r="O59" s="151"/>
      <c r="P59" s="128"/>
      <c r="Q59" s="152"/>
    </row>
    <row r="60" spans="1:17" s="113" customFormat="1" ht="29.25" customHeight="1" x14ac:dyDescent="0.25">
      <c r="A60" s="89">
        <v>5</v>
      </c>
      <c r="B60" s="73" t="s">
        <v>325</v>
      </c>
      <c r="C60" s="76" t="s">
        <v>323</v>
      </c>
      <c r="D60" s="73" t="s">
        <v>326</v>
      </c>
      <c r="E60" s="73" t="s">
        <v>154</v>
      </c>
      <c r="F60" s="76" t="s">
        <v>175</v>
      </c>
      <c r="G60" s="74">
        <v>560000000</v>
      </c>
      <c r="H60" s="74">
        <v>28887900</v>
      </c>
      <c r="I60" s="91">
        <f>25823000+3064900</f>
        <v>28887900</v>
      </c>
      <c r="J60" s="92">
        <f>I60/H60%</f>
        <v>100</v>
      </c>
      <c r="K60" s="92">
        <v>100</v>
      </c>
      <c r="L60" s="86"/>
      <c r="M60" s="109"/>
      <c r="N60" s="109"/>
      <c r="O60" s="109"/>
      <c r="P60" s="109"/>
      <c r="Q60" s="86"/>
    </row>
    <row r="61" spans="1:17" s="113" customFormat="1" ht="15.75" customHeight="1" x14ac:dyDescent="0.25">
      <c r="A61" s="114" t="s">
        <v>327</v>
      </c>
      <c r="B61" s="87" t="s">
        <v>2</v>
      </c>
      <c r="C61" s="84"/>
      <c r="D61" s="73"/>
      <c r="E61" s="73"/>
      <c r="F61" s="73"/>
      <c r="G61" s="88">
        <f>G62+G63+G66+G69+G71+G76</f>
        <v>425000000</v>
      </c>
      <c r="H61" s="88">
        <f>H62+H63+H66+H69+H71+H76</f>
        <v>483654900</v>
      </c>
      <c r="I61" s="88">
        <f>I62+I63+I66+I69+I71+I76</f>
        <v>456368810</v>
      </c>
      <c r="J61" s="111">
        <f>I61/H61%</f>
        <v>94.358355513404291</v>
      </c>
      <c r="K61" s="111">
        <v>100</v>
      </c>
      <c r="L61" s="150"/>
      <c r="M61" s="89"/>
      <c r="N61" s="89"/>
      <c r="O61" s="89"/>
      <c r="P61" s="89"/>
      <c r="Q61" s="150"/>
    </row>
    <row r="62" spans="1:17" s="113" customFormat="1" ht="42" customHeight="1" x14ac:dyDescent="0.25">
      <c r="A62" s="89">
        <v>1</v>
      </c>
      <c r="B62" s="73" t="s">
        <v>328</v>
      </c>
      <c r="C62" s="73" t="s">
        <v>329</v>
      </c>
      <c r="D62" s="73" t="s">
        <v>330</v>
      </c>
      <c r="E62" s="73" t="s">
        <v>154</v>
      </c>
      <c r="F62" s="73" t="s">
        <v>155</v>
      </c>
      <c r="G62" s="74">
        <v>40000000</v>
      </c>
      <c r="H62" s="74">
        <v>40000000</v>
      </c>
      <c r="I62" s="153">
        <f>17747500+7947500+5500000</f>
        <v>31195000</v>
      </c>
      <c r="J62" s="129">
        <f t="shared" ref="J62:J63" si="3">I62/G62%</f>
        <v>77.987499999999997</v>
      </c>
      <c r="K62" s="129">
        <v>100</v>
      </c>
      <c r="L62" s="136"/>
      <c r="M62" s="75"/>
      <c r="N62" s="75"/>
      <c r="O62" s="75"/>
      <c r="P62" s="75"/>
      <c r="Q62" s="136"/>
    </row>
    <row r="63" spans="1:17" s="113" customFormat="1" ht="41.25" customHeight="1" x14ac:dyDescent="0.25">
      <c r="A63" s="211">
        <v>2</v>
      </c>
      <c r="B63" s="213" t="s">
        <v>331</v>
      </c>
      <c r="C63" s="73" t="s">
        <v>332</v>
      </c>
      <c r="D63" s="73" t="s">
        <v>333</v>
      </c>
      <c r="E63" s="213" t="s">
        <v>154</v>
      </c>
      <c r="F63" s="213" t="s">
        <v>155</v>
      </c>
      <c r="G63" s="219">
        <v>30000000</v>
      </c>
      <c r="H63" s="219">
        <v>30000000</v>
      </c>
      <c r="I63" s="221">
        <f>5942500+4187500+3000000+9340000+3530000</f>
        <v>26000000</v>
      </c>
      <c r="J63" s="234">
        <f t="shared" si="3"/>
        <v>86.666666666666671</v>
      </c>
      <c r="K63" s="234">
        <v>100</v>
      </c>
      <c r="L63" s="136"/>
      <c r="M63" s="154"/>
      <c r="N63" s="75"/>
      <c r="O63" s="154"/>
      <c r="P63" s="75"/>
      <c r="Q63" s="155"/>
    </row>
    <row r="64" spans="1:17" s="113" customFormat="1" ht="30.75" customHeight="1" x14ac:dyDescent="0.25">
      <c r="A64" s="223"/>
      <c r="B64" s="224"/>
      <c r="C64" s="73" t="s">
        <v>334</v>
      </c>
      <c r="D64" s="73" t="s">
        <v>335</v>
      </c>
      <c r="E64" s="224"/>
      <c r="F64" s="224"/>
      <c r="G64" s="238"/>
      <c r="H64" s="238"/>
      <c r="I64" s="225"/>
      <c r="J64" s="235"/>
      <c r="K64" s="235"/>
      <c r="L64" s="138"/>
      <c r="M64" s="156"/>
      <c r="N64" s="157"/>
      <c r="O64" s="156"/>
      <c r="P64" s="157"/>
      <c r="Q64" s="158"/>
    </row>
    <row r="65" spans="1:17" s="113" customFormat="1" ht="27.75" customHeight="1" x14ac:dyDescent="0.25">
      <c r="A65" s="223"/>
      <c r="B65" s="224"/>
      <c r="C65" s="76" t="s">
        <v>336</v>
      </c>
      <c r="D65" s="76" t="s">
        <v>337</v>
      </c>
      <c r="E65" s="224"/>
      <c r="F65" s="224"/>
      <c r="G65" s="238"/>
      <c r="H65" s="238"/>
      <c r="I65" s="225"/>
      <c r="J65" s="235"/>
      <c r="K65" s="235"/>
      <c r="L65" s="138"/>
      <c r="M65" s="156"/>
      <c r="N65" s="157"/>
      <c r="O65" s="156"/>
      <c r="P65" s="157"/>
      <c r="Q65" s="158"/>
    </row>
    <row r="66" spans="1:17" s="113" customFormat="1" ht="27.75" customHeight="1" x14ac:dyDescent="0.25">
      <c r="A66" s="243">
        <v>3</v>
      </c>
      <c r="B66" s="245" t="s">
        <v>338</v>
      </c>
      <c r="C66" s="73" t="s">
        <v>339</v>
      </c>
      <c r="D66" s="73" t="s">
        <v>340</v>
      </c>
      <c r="E66" s="245" t="s">
        <v>154</v>
      </c>
      <c r="F66" s="245" t="s">
        <v>155</v>
      </c>
      <c r="G66" s="246">
        <v>50000000</v>
      </c>
      <c r="H66" s="246">
        <v>50000000</v>
      </c>
      <c r="I66" s="242">
        <f>9580000+3620000+30230000+4450000</f>
        <v>47880000</v>
      </c>
      <c r="J66" s="241">
        <f>I66/G66%</f>
        <v>95.76</v>
      </c>
      <c r="K66" s="241">
        <v>100</v>
      </c>
      <c r="L66" s="159"/>
      <c r="M66" s="75"/>
      <c r="N66" s="154"/>
      <c r="O66" s="75"/>
      <c r="P66" s="154"/>
      <c r="Q66" s="136"/>
    </row>
    <row r="67" spans="1:17" s="113" customFormat="1" ht="16.5" customHeight="1" x14ac:dyDescent="0.25">
      <c r="A67" s="243"/>
      <c r="B67" s="245"/>
      <c r="C67" s="73" t="s">
        <v>341</v>
      </c>
      <c r="D67" s="73" t="s">
        <v>342</v>
      </c>
      <c r="E67" s="245"/>
      <c r="F67" s="245"/>
      <c r="G67" s="246"/>
      <c r="H67" s="246"/>
      <c r="I67" s="242"/>
      <c r="J67" s="241"/>
      <c r="K67" s="241"/>
      <c r="L67" s="160"/>
      <c r="M67" s="157"/>
      <c r="N67" s="156"/>
      <c r="O67" s="157"/>
      <c r="P67" s="156"/>
      <c r="Q67" s="138"/>
    </row>
    <row r="68" spans="1:17" s="113" customFormat="1" ht="42" customHeight="1" x14ac:dyDescent="0.25">
      <c r="A68" s="243"/>
      <c r="B68" s="245"/>
      <c r="C68" s="73" t="s">
        <v>343</v>
      </c>
      <c r="D68" s="73" t="s">
        <v>344</v>
      </c>
      <c r="E68" s="245"/>
      <c r="F68" s="245"/>
      <c r="G68" s="246"/>
      <c r="H68" s="246"/>
      <c r="I68" s="242"/>
      <c r="J68" s="241"/>
      <c r="K68" s="241"/>
      <c r="L68" s="185"/>
      <c r="M68" s="108"/>
      <c r="N68" s="168"/>
      <c r="O68" s="108"/>
      <c r="P68" s="168"/>
      <c r="Q68" s="167"/>
    </row>
    <row r="69" spans="1:17" s="113" customFormat="1" ht="30" customHeight="1" x14ac:dyDescent="0.25">
      <c r="A69" s="243">
        <v>4</v>
      </c>
      <c r="B69" s="244" t="s">
        <v>345</v>
      </c>
      <c r="C69" s="73" t="s">
        <v>346</v>
      </c>
      <c r="D69" s="73" t="s">
        <v>347</v>
      </c>
      <c r="E69" s="245" t="s">
        <v>154</v>
      </c>
      <c r="F69" s="245" t="s">
        <v>155</v>
      </c>
      <c r="G69" s="246">
        <v>50000000</v>
      </c>
      <c r="H69" s="246">
        <v>50000000</v>
      </c>
      <c r="I69" s="247">
        <f>6625000+32800000+3640000</f>
        <v>43065000</v>
      </c>
      <c r="J69" s="240">
        <f t="shared" si="0"/>
        <v>86.13</v>
      </c>
      <c r="K69" s="241">
        <v>100</v>
      </c>
      <c r="L69" s="136"/>
      <c r="M69" s="161"/>
      <c r="N69" s="162"/>
      <c r="O69" s="163"/>
      <c r="P69" s="75"/>
      <c r="Q69" s="155"/>
    </row>
    <row r="70" spans="1:17" s="113" customFormat="1" ht="28.5" customHeight="1" x14ac:dyDescent="0.25">
      <c r="A70" s="243"/>
      <c r="B70" s="244"/>
      <c r="C70" s="73" t="s">
        <v>348</v>
      </c>
      <c r="D70" s="73" t="s">
        <v>349</v>
      </c>
      <c r="E70" s="245"/>
      <c r="F70" s="245"/>
      <c r="G70" s="246"/>
      <c r="H70" s="246"/>
      <c r="I70" s="247"/>
      <c r="J70" s="240"/>
      <c r="K70" s="241"/>
      <c r="L70" s="138"/>
      <c r="M70" s="164"/>
      <c r="N70" s="165"/>
      <c r="O70" s="166"/>
      <c r="P70" s="157"/>
      <c r="Q70" s="158"/>
    </row>
    <row r="71" spans="1:17" s="113" customFormat="1" ht="28.5" customHeight="1" x14ac:dyDescent="0.25">
      <c r="A71" s="211">
        <v>5</v>
      </c>
      <c r="B71" s="232" t="s">
        <v>350</v>
      </c>
      <c r="C71" s="73" t="s">
        <v>351</v>
      </c>
      <c r="D71" s="73" t="s">
        <v>352</v>
      </c>
      <c r="E71" s="213" t="s">
        <v>154</v>
      </c>
      <c r="F71" s="213" t="s">
        <v>155</v>
      </c>
      <c r="G71" s="219">
        <v>80000000</v>
      </c>
      <c r="H71" s="219">
        <v>80000000</v>
      </c>
      <c r="I71" s="221">
        <f>53445000+600000+11045000+12365000</f>
        <v>77455000</v>
      </c>
      <c r="J71" s="234">
        <f t="shared" si="0"/>
        <v>96.818749999999994</v>
      </c>
      <c r="K71" s="234">
        <v>100</v>
      </c>
      <c r="L71" s="136"/>
      <c r="M71" s="154"/>
      <c r="N71" s="75"/>
      <c r="O71" s="154"/>
      <c r="P71" s="75"/>
      <c r="Q71" s="155"/>
    </row>
    <row r="72" spans="1:17" s="113" customFormat="1" ht="18.75" customHeight="1" x14ac:dyDescent="0.25">
      <c r="A72" s="223"/>
      <c r="B72" s="237"/>
      <c r="C72" s="73" t="s">
        <v>353</v>
      </c>
      <c r="D72" s="73" t="s">
        <v>352</v>
      </c>
      <c r="E72" s="224"/>
      <c r="F72" s="224"/>
      <c r="G72" s="238"/>
      <c r="H72" s="238"/>
      <c r="I72" s="225"/>
      <c r="J72" s="235"/>
      <c r="K72" s="235"/>
      <c r="L72" s="138"/>
      <c r="M72" s="156"/>
      <c r="N72" s="157"/>
      <c r="O72" s="156"/>
      <c r="P72" s="157"/>
      <c r="Q72" s="158"/>
    </row>
    <row r="73" spans="1:17" s="113" customFormat="1" ht="25.5" x14ac:dyDescent="0.25">
      <c r="A73" s="223"/>
      <c r="B73" s="237"/>
      <c r="C73" s="73" t="s">
        <v>354</v>
      </c>
      <c r="D73" s="73" t="s">
        <v>355</v>
      </c>
      <c r="E73" s="224"/>
      <c r="F73" s="224"/>
      <c r="G73" s="238"/>
      <c r="H73" s="238"/>
      <c r="I73" s="225"/>
      <c r="J73" s="235"/>
      <c r="K73" s="235"/>
      <c r="L73" s="138"/>
      <c r="M73" s="156"/>
      <c r="N73" s="157"/>
      <c r="O73" s="156"/>
      <c r="P73" s="157"/>
      <c r="Q73" s="158"/>
    </row>
    <row r="74" spans="1:17" s="113" customFormat="1" ht="25.5" x14ac:dyDescent="0.25">
      <c r="A74" s="223"/>
      <c r="B74" s="237"/>
      <c r="C74" s="73" t="s">
        <v>356</v>
      </c>
      <c r="D74" s="73" t="s">
        <v>357</v>
      </c>
      <c r="E74" s="224"/>
      <c r="F74" s="224"/>
      <c r="G74" s="238"/>
      <c r="H74" s="238"/>
      <c r="I74" s="225"/>
      <c r="J74" s="235"/>
      <c r="K74" s="235"/>
      <c r="L74" s="138"/>
      <c r="M74" s="156"/>
      <c r="N74" s="157"/>
      <c r="O74" s="156"/>
      <c r="P74" s="157"/>
      <c r="Q74" s="158"/>
    </row>
    <row r="75" spans="1:17" s="113" customFormat="1" ht="30.75" customHeight="1" x14ac:dyDescent="0.25">
      <c r="A75" s="212"/>
      <c r="B75" s="233"/>
      <c r="C75" s="73" t="s">
        <v>358</v>
      </c>
      <c r="D75" s="73" t="s">
        <v>359</v>
      </c>
      <c r="E75" s="214"/>
      <c r="F75" s="214"/>
      <c r="G75" s="220"/>
      <c r="H75" s="220"/>
      <c r="I75" s="222"/>
      <c r="J75" s="236"/>
      <c r="K75" s="236"/>
      <c r="L75" s="138"/>
      <c r="M75" s="156"/>
      <c r="N75" s="157"/>
      <c r="O75" s="156"/>
      <c r="P75" s="157"/>
      <c r="Q75" s="158"/>
    </row>
    <row r="76" spans="1:17" s="113" customFormat="1" ht="25.5" x14ac:dyDescent="0.25">
      <c r="A76" s="211">
        <v>6</v>
      </c>
      <c r="B76" s="232" t="s">
        <v>360</v>
      </c>
      <c r="C76" s="73" t="s">
        <v>361</v>
      </c>
      <c r="D76" s="73" t="s">
        <v>362</v>
      </c>
      <c r="E76" s="213" t="s">
        <v>154</v>
      </c>
      <c r="F76" s="213" t="s">
        <v>155</v>
      </c>
      <c r="G76" s="219">
        <v>175000000</v>
      </c>
      <c r="H76" s="219">
        <v>233654900</v>
      </c>
      <c r="I76" s="230">
        <v>230773810</v>
      </c>
      <c r="J76" s="234">
        <f>I76/H76%</f>
        <v>98.766946466776432</v>
      </c>
      <c r="K76" s="234">
        <v>100</v>
      </c>
      <c r="L76" s="136"/>
      <c r="M76" s="154"/>
      <c r="N76" s="75"/>
      <c r="O76" s="154"/>
      <c r="P76" s="75"/>
      <c r="Q76" s="155"/>
    </row>
    <row r="77" spans="1:17" s="113" customFormat="1" ht="12.75" x14ac:dyDescent="0.25">
      <c r="A77" s="223"/>
      <c r="B77" s="237"/>
      <c r="C77" s="73" t="s">
        <v>363</v>
      </c>
      <c r="D77" s="73" t="s">
        <v>364</v>
      </c>
      <c r="E77" s="224"/>
      <c r="F77" s="224"/>
      <c r="G77" s="238"/>
      <c r="H77" s="238"/>
      <c r="I77" s="239"/>
      <c r="J77" s="235"/>
      <c r="K77" s="235"/>
      <c r="L77" s="138"/>
      <c r="M77" s="156"/>
      <c r="N77" s="157"/>
      <c r="O77" s="156"/>
      <c r="P77" s="157"/>
      <c r="Q77" s="158"/>
    </row>
    <row r="78" spans="1:17" s="113" customFormat="1" ht="25.5" x14ac:dyDescent="0.25">
      <c r="A78" s="223"/>
      <c r="B78" s="237"/>
      <c r="C78" s="73" t="s">
        <v>365</v>
      </c>
      <c r="D78" s="73" t="s">
        <v>366</v>
      </c>
      <c r="E78" s="224"/>
      <c r="F78" s="224"/>
      <c r="G78" s="238"/>
      <c r="H78" s="238"/>
      <c r="I78" s="239"/>
      <c r="J78" s="235"/>
      <c r="K78" s="235"/>
      <c r="L78" s="138"/>
      <c r="M78" s="156"/>
      <c r="N78" s="157"/>
      <c r="O78" s="156"/>
      <c r="P78" s="157"/>
      <c r="Q78" s="158"/>
    </row>
    <row r="79" spans="1:17" s="113" customFormat="1" ht="25.5" x14ac:dyDescent="0.25">
      <c r="A79" s="223"/>
      <c r="B79" s="237"/>
      <c r="C79" s="73" t="s">
        <v>367</v>
      </c>
      <c r="D79" s="73" t="s">
        <v>366</v>
      </c>
      <c r="E79" s="224"/>
      <c r="F79" s="224"/>
      <c r="G79" s="238"/>
      <c r="H79" s="238"/>
      <c r="I79" s="239"/>
      <c r="J79" s="235"/>
      <c r="K79" s="235"/>
      <c r="L79" s="138"/>
      <c r="M79" s="156"/>
      <c r="N79" s="157"/>
      <c r="O79" s="156"/>
      <c r="P79" s="157"/>
      <c r="Q79" s="158"/>
    </row>
    <row r="80" spans="1:17" s="113" customFormat="1" ht="38.25" x14ac:dyDescent="0.25">
      <c r="A80" s="223"/>
      <c r="B80" s="237"/>
      <c r="C80" s="73" t="s">
        <v>368</v>
      </c>
      <c r="D80" s="73" t="s">
        <v>359</v>
      </c>
      <c r="E80" s="224"/>
      <c r="F80" s="224"/>
      <c r="G80" s="238"/>
      <c r="H80" s="238"/>
      <c r="I80" s="239"/>
      <c r="J80" s="235"/>
      <c r="K80" s="235"/>
      <c r="L80" s="138"/>
      <c r="M80" s="156"/>
      <c r="N80" s="157"/>
      <c r="O80" s="156"/>
      <c r="P80" s="157"/>
      <c r="Q80" s="158"/>
    </row>
    <row r="81" spans="1:17" s="113" customFormat="1" ht="25.5" x14ac:dyDescent="0.25">
      <c r="A81" s="223"/>
      <c r="B81" s="237"/>
      <c r="C81" s="73" t="s">
        <v>369</v>
      </c>
      <c r="D81" s="73" t="s">
        <v>370</v>
      </c>
      <c r="E81" s="224"/>
      <c r="F81" s="224"/>
      <c r="G81" s="238"/>
      <c r="H81" s="238"/>
      <c r="I81" s="239"/>
      <c r="J81" s="235"/>
      <c r="K81" s="235"/>
      <c r="L81" s="138"/>
      <c r="M81" s="156"/>
      <c r="N81" s="157"/>
      <c r="O81" s="156"/>
      <c r="P81" s="157"/>
      <c r="Q81" s="158"/>
    </row>
    <row r="82" spans="1:17" s="113" customFormat="1" ht="25.5" x14ac:dyDescent="0.25">
      <c r="A82" s="212"/>
      <c r="B82" s="233"/>
      <c r="C82" s="73" t="s">
        <v>371</v>
      </c>
      <c r="D82" s="73" t="s">
        <v>359</v>
      </c>
      <c r="E82" s="214"/>
      <c r="F82" s="214"/>
      <c r="G82" s="220"/>
      <c r="H82" s="220"/>
      <c r="I82" s="231"/>
      <c r="J82" s="236"/>
      <c r="K82" s="236"/>
      <c r="L82" s="167"/>
      <c r="M82" s="168"/>
      <c r="N82" s="108"/>
      <c r="O82" s="168"/>
      <c r="P82" s="108"/>
      <c r="Q82" s="169"/>
    </row>
    <row r="83" spans="1:17" s="113" customFormat="1" ht="16.5" customHeight="1" x14ac:dyDescent="0.25">
      <c r="A83" s="114" t="s">
        <v>372</v>
      </c>
      <c r="B83" s="93" t="s">
        <v>3</v>
      </c>
      <c r="C83" s="93"/>
      <c r="D83" s="94"/>
      <c r="E83" s="73"/>
      <c r="F83" s="73"/>
      <c r="G83" s="88">
        <f>SUM(G84:G85)</f>
        <v>200000000</v>
      </c>
      <c r="H83" s="88">
        <f>SUM(H84:H85)</f>
        <v>275000000</v>
      </c>
      <c r="I83" s="88">
        <f>SUM(I84:I85)</f>
        <v>272816000</v>
      </c>
      <c r="J83" s="111">
        <f>I83/H83%</f>
        <v>99.205818181818188</v>
      </c>
      <c r="K83" s="150"/>
      <c r="L83" s="150"/>
      <c r="M83" s="89"/>
      <c r="N83" s="89"/>
      <c r="O83" s="89"/>
      <c r="P83" s="89"/>
      <c r="Q83" s="150"/>
    </row>
    <row r="84" spans="1:17" s="113" customFormat="1" ht="29.25" customHeight="1" x14ac:dyDescent="0.25">
      <c r="A84" s="89">
        <v>1</v>
      </c>
      <c r="B84" s="95" t="s">
        <v>373</v>
      </c>
      <c r="C84" s="73" t="s">
        <v>374</v>
      </c>
      <c r="D84" s="73" t="s">
        <v>375</v>
      </c>
      <c r="E84" s="73" t="s">
        <v>154</v>
      </c>
      <c r="F84" s="73" t="s">
        <v>155</v>
      </c>
      <c r="G84" s="74">
        <v>100000000</v>
      </c>
      <c r="H84" s="74">
        <v>100000000</v>
      </c>
      <c r="I84" s="98">
        <f>17751000+900000+80880000</f>
        <v>99531000</v>
      </c>
      <c r="J84" s="129">
        <f t="shared" si="0"/>
        <v>99.531000000000006</v>
      </c>
      <c r="K84" s="129">
        <v>100</v>
      </c>
      <c r="L84" s="73" t="s">
        <v>376</v>
      </c>
      <c r="M84" s="170">
        <v>43209</v>
      </c>
      <c r="N84" s="170">
        <v>43360</v>
      </c>
      <c r="O84" s="77">
        <v>80880000</v>
      </c>
      <c r="P84" s="128" t="s">
        <v>377</v>
      </c>
      <c r="Q84" s="167"/>
    </row>
    <row r="85" spans="1:17" s="113" customFormat="1" ht="41.25" customHeight="1" x14ac:dyDescent="0.25">
      <c r="A85" s="89">
        <v>2</v>
      </c>
      <c r="B85" s="95" t="s">
        <v>378</v>
      </c>
      <c r="C85" s="73" t="s">
        <v>379</v>
      </c>
      <c r="D85" s="73" t="s">
        <v>233</v>
      </c>
      <c r="E85" s="73" t="s">
        <v>380</v>
      </c>
      <c r="F85" s="73" t="s">
        <v>155</v>
      </c>
      <c r="G85" s="74">
        <v>100000000</v>
      </c>
      <c r="H85" s="74">
        <v>175000000</v>
      </c>
      <c r="I85" s="153">
        <v>173285000</v>
      </c>
      <c r="J85" s="129">
        <f>I85/H85%</f>
        <v>99.02</v>
      </c>
      <c r="K85" s="129">
        <v>100</v>
      </c>
      <c r="L85" s="73" t="s">
        <v>156</v>
      </c>
      <c r="M85" s="89" t="s">
        <v>381</v>
      </c>
      <c r="N85" s="89" t="s">
        <v>382</v>
      </c>
      <c r="O85" s="77">
        <v>50420000</v>
      </c>
      <c r="P85" s="128" t="s">
        <v>210</v>
      </c>
      <c r="Q85" s="150"/>
    </row>
    <row r="86" spans="1:17" s="113" customFormat="1" ht="18.75" customHeight="1" x14ac:dyDescent="0.25">
      <c r="A86" s="114" t="s">
        <v>383</v>
      </c>
      <c r="B86" s="93" t="s">
        <v>4</v>
      </c>
      <c r="C86" s="93"/>
      <c r="D86" s="94"/>
      <c r="E86" s="73"/>
      <c r="F86" s="73"/>
      <c r="G86" s="88">
        <f>SUM(G87:G89)</f>
        <v>125000000</v>
      </c>
      <c r="H86" s="88">
        <f>H87+H89+H90+H91+H92</f>
        <v>725000000</v>
      </c>
      <c r="I86" s="88">
        <f>I87+I89+I90+I91+I92</f>
        <v>716032750</v>
      </c>
      <c r="J86" s="111">
        <f>I86/H86%</f>
        <v>98.763137931034478</v>
      </c>
      <c r="K86" s="111">
        <v>100</v>
      </c>
      <c r="L86" s="150"/>
      <c r="M86" s="89"/>
      <c r="N86" s="89"/>
      <c r="O86" s="89"/>
      <c r="P86" s="89"/>
      <c r="Q86" s="150"/>
    </row>
    <row r="87" spans="1:17" s="113" customFormat="1" ht="42" customHeight="1" x14ac:dyDescent="0.25">
      <c r="A87" s="211">
        <v>1</v>
      </c>
      <c r="B87" s="232" t="s">
        <v>384</v>
      </c>
      <c r="C87" s="73" t="s">
        <v>385</v>
      </c>
      <c r="D87" s="73" t="s">
        <v>212</v>
      </c>
      <c r="E87" s="213" t="s">
        <v>154</v>
      </c>
      <c r="F87" s="213" t="s">
        <v>155</v>
      </c>
      <c r="G87" s="219">
        <v>50000000</v>
      </c>
      <c r="H87" s="219">
        <v>50000000</v>
      </c>
      <c r="I87" s="230">
        <v>50000000</v>
      </c>
      <c r="J87" s="208">
        <f t="shared" si="0"/>
        <v>100</v>
      </c>
      <c r="K87" s="208">
        <v>100</v>
      </c>
      <c r="L87" s="136"/>
      <c r="M87" s="154"/>
      <c r="N87" s="75"/>
      <c r="O87" s="154"/>
      <c r="P87" s="75"/>
      <c r="Q87" s="155"/>
    </row>
    <row r="88" spans="1:17" s="113" customFormat="1" ht="29.25" customHeight="1" x14ac:dyDescent="0.25">
      <c r="A88" s="212"/>
      <c r="B88" s="233"/>
      <c r="C88" s="73" t="s">
        <v>386</v>
      </c>
      <c r="D88" s="73" t="s">
        <v>240</v>
      </c>
      <c r="E88" s="214"/>
      <c r="F88" s="214"/>
      <c r="G88" s="220"/>
      <c r="H88" s="220"/>
      <c r="I88" s="231"/>
      <c r="J88" s="210"/>
      <c r="K88" s="210"/>
      <c r="L88" s="138"/>
      <c r="M88" s="156"/>
      <c r="N88" s="157"/>
      <c r="O88" s="156"/>
      <c r="P88" s="157"/>
      <c r="Q88" s="158"/>
    </row>
    <row r="89" spans="1:17" s="113" customFormat="1" ht="57" customHeight="1" x14ac:dyDescent="0.25">
      <c r="A89" s="89">
        <v>2</v>
      </c>
      <c r="B89" s="95" t="s">
        <v>387</v>
      </c>
      <c r="C89" s="73" t="s">
        <v>388</v>
      </c>
      <c r="D89" s="73" t="s">
        <v>389</v>
      </c>
      <c r="E89" s="73" t="s">
        <v>154</v>
      </c>
      <c r="F89" s="73" t="s">
        <v>155</v>
      </c>
      <c r="G89" s="74">
        <v>75000000</v>
      </c>
      <c r="H89" s="74">
        <v>75000000</v>
      </c>
      <c r="I89" s="98">
        <v>74744500</v>
      </c>
      <c r="J89" s="125">
        <f t="shared" si="0"/>
        <v>99.659333333333336</v>
      </c>
      <c r="K89" s="125">
        <v>100</v>
      </c>
      <c r="L89" s="150"/>
      <c r="M89" s="89"/>
      <c r="N89" s="89"/>
      <c r="O89" s="89"/>
      <c r="P89" s="89"/>
      <c r="Q89" s="150"/>
    </row>
    <row r="90" spans="1:17" s="113" customFormat="1" ht="42.75" customHeight="1" x14ac:dyDescent="0.25">
      <c r="A90" s="75">
        <v>3</v>
      </c>
      <c r="B90" s="171" t="s">
        <v>390</v>
      </c>
      <c r="C90" s="76" t="s">
        <v>391</v>
      </c>
      <c r="D90" s="76" t="s">
        <v>178</v>
      </c>
      <c r="E90" s="76" t="s">
        <v>392</v>
      </c>
      <c r="F90" s="76" t="s">
        <v>155</v>
      </c>
      <c r="G90" s="81"/>
      <c r="H90" s="172">
        <v>200000000</v>
      </c>
      <c r="I90" s="98">
        <v>194984250</v>
      </c>
      <c r="J90" s="125">
        <f t="shared" ref="J90:J95" si="4">I90/H90%</f>
        <v>97.492125000000001</v>
      </c>
      <c r="K90" s="125">
        <v>100</v>
      </c>
      <c r="L90" s="136"/>
      <c r="M90" s="75"/>
      <c r="N90" s="75"/>
      <c r="O90" s="75"/>
      <c r="P90" s="75"/>
      <c r="Q90" s="136"/>
    </row>
    <row r="91" spans="1:17" s="113" customFormat="1" ht="54.75" customHeight="1" x14ac:dyDescent="0.25">
      <c r="A91" s="89">
        <v>4</v>
      </c>
      <c r="B91" s="95" t="s">
        <v>393</v>
      </c>
      <c r="C91" s="73" t="s">
        <v>394</v>
      </c>
      <c r="D91" s="73" t="s">
        <v>395</v>
      </c>
      <c r="E91" s="73" t="s">
        <v>396</v>
      </c>
      <c r="F91" s="73" t="s">
        <v>182</v>
      </c>
      <c r="G91" s="74"/>
      <c r="H91" s="186">
        <v>200000000</v>
      </c>
      <c r="I91" s="98">
        <f>103685000+24500000+69753000</f>
        <v>197938000</v>
      </c>
      <c r="J91" s="125">
        <f t="shared" si="4"/>
        <v>98.968999999999994</v>
      </c>
      <c r="K91" s="125">
        <v>100</v>
      </c>
      <c r="L91" s="73" t="s">
        <v>156</v>
      </c>
      <c r="M91" s="173" t="s">
        <v>273</v>
      </c>
      <c r="N91" s="173" t="s">
        <v>274</v>
      </c>
      <c r="O91" s="77">
        <f>24500000+69753000</f>
        <v>94253000</v>
      </c>
      <c r="P91" s="128" t="s">
        <v>298</v>
      </c>
      <c r="Q91" s="150"/>
    </row>
    <row r="92" spans="1:17" s="113" customFormat="1" ht="41.25" customHeight="1" x14ac:dyDescent="0.25">
      <c r="A92" s="89">
        <v>5</v>
      </c>
      <c r="B92" s="95" t="s">
        <v>397</v>
      </c>
      <c r="C92" s="73" t="s">
        <v>398</v>
      </c>
      <c r="D92" s="73" t="s">
        <v>399</v>
      </c>
      <c r="E92" s="73" t="s">
        <v>400</v>
      </c>
      <c r="F92" s="73" t="s">
        <v>175</v>
      </c>
      <c r="G92" s="74"/>
      <c r="H92" s="186">
        <v>200000000</v>
      </c>
      <c r="I92" s="98">
        <v>198366000</v>
      </c>
      <c r="J92" s="125">
        <f t="shared" si="4"/>
        <v>99.183000000000007</v>
      </c>
      <c r="K92" s="125">
        <v>100</v>
      </c>
      <c r="L92" s="85" t="s">
        <v>156</v>
      </c>
      <c r="M92" s="173" t="s">
        <v>401</v>
      </c>
      <c r="N92" s="173" t="s">
        <v>402</v>
      </c>
      <c r="O92" s="77">
        <v>181520000</v>
      </c>
      <c r="P92" s="128" t="s">
        <v>403</v>
      </c>
      <c r="Q92" s="150"/>
    </row>
    <row r="93" spans="1:17" s="113" customFormat="1" ht="16.5" customHeight="1" x14ac:dyDescent="0.25">
      <c r="A93" s="114" t="s">
        <v>404</v>
      </c>
      <c r="B93" s="93" t="s">
        <v>405</v>
      </c>
      <c r="C93" s="73"/>
      <c r="D93" s="73"/>
      <c r="E93" s="73"/>
      <c r="F93" s="73"/>
      <c r="G93" s="96">
        <f>G94</f>
        <v>50000000</v>
      </c>
      <c r="H93" s="96">
        <f>H94</f>
        <v>50000000</v>
      </c>
      <c r="I93" s="97">
        <f>I94</f>
        <v>50000000</v>
      </c>
      <c r="J93" s="112">
        <f t="shared" si="4"/>
        <v>100</v>
      </c>
      <c r="K93" s="112">
        <v>100</v>
      </c>
      <c r="L93" s="150"/>
      <c r="M93" s="89"/>
      <c r="N93" s="89"/>
      <c r="O93" s="89"/>
      <c r="P93" s="89"/>
      <c r="Q93" s="150"/>
    </row>
    <row r="94" spans="1:17" s="113" customFormat="1" ht="42" customHeight="1" x14ac:dyDescent="0.25">
      <c r="A94" s="89">
        <v>1</v>
      </c>
      <c r="B94" s="95" t="s">
        <v>406</v>
      </c>
      <c r="C94" s="73" t="s">
        <v>407</v>
      </c>
      <c r="D94" s="73" t="s">
        <v>162</v>
      </c>
      <c r="E94" s="73" t="s">
        <v>154</v>
      </c>
      <c r="F94" s="73" t="s">
        <v>175</v>
      </c>
      <c r="G94" s="98">
        <v>50000000</v>
      </c>
      <c r="H94" s="98">
        <v>50000000</v>
      </c>
      <c r="I94" s="98">
        <v>50000000</v>
      </c>
      <c r="J94" s="125">
        <f t="shared" si="4"/>
        <v>100</v>
      </c>
      <c r="K94" s="129">
        <v>10</v>
      </c>
      <c r="L94" s="150"/>
      <c r="M94" s="89"/>
      <c r="N94" s="89"/>
      <c r="O94" s="89"/>
      <c r="P94" s="89"/>
      <c r="Q94" s="150"/>
    </row>
    <row r="95" spans="1:17" s="113" customFormat="1" ht="17.25" customHeight="1" x14ac:dyDescent="0.25">
      <c r="A95" s="114" t="s">
        <v>408</v>
      </c>
      <c r="B95" s="99" t="s">
        <v>5</v>
      </c>
      <c r="C95" s="73"/>
      <c r="D95" s="73"/>
      <c r="E95" s="73"/>
      <c r="F95" s="73"/>
      <c r="G95" s="96">
        <f>G96+G98+G99</f>
        <v>1000000000</v>
      </c>
      <c r="H95" s="96">
        <f>H96+H98+H99</f>
        <v>1000000000</v>
      </c>
      <c r="I95" s="96">
        <f>I96+I98+I99</f>
        <v>943487000</v>
      </c>
      <c r="J95" s="111">
        <f t="shared" si="4"/>
        <v>94.348699999999994</v>
      </c>
      <c r="K95" s="111">
        <v>100</v>
      </c>
      <c r="L95" s="150"/>
      <c r="M95" s="89"/>
      <c r="N95" s="89"/>
      <c r="O95" s="89"/>
      <c r="P95" s="89"/>
      <c r="Q95" s="150"/>
    </row>
    <row r="96" spans="1:17" s="113" customFormat="1" ht="25.5" x14ac:dyDescent="0.25">
      <c r="A96" s="211">
        <v>1</v>
      </c>
      <c r="B96" s="232" t="s">
        <v>409</v>
      </c>
      <c r="C96" s="73" t="s">
        <v>410</v>
      </c>
      <c r="D96" s="73" t="s">
        <v>240</v>
      </c>
      <c r="E96" s="213" t="s">
        <v>154</v>
      </c>
      <c r="F96" s="213" t="s">
        <v>182</v>
      </c>
      <c r="G96" s="228">
        <v>50000000</v>
      </c>
      <c r="H96" s="228">
        <v>50000000</v>
      </c>
      <c r="I96" s="228">
        <v>50000000</v>
      </c>
      <c r="J96" s="208">
        <f>I96/G96%</f>
        <v>100</v>
      </c>
      <c r="K96" s="208">
        <v>100</v>
      </c>
      <c r="L96" s="136"/>
      <c r="M96" s="75"/>
      <c r="N96" s="75"/>
      <c r="O96" s="75"/>
      <c r="P96" s="75"/>
      <c r="Q96" s="136"/>
    </row>
    <row r="97" spans="1:17" s="113" customFormat="1" ht="25.5" x14ac:dyDescent="0.25">
      <c r="A97" s="212"/>
      <c r="B97" s="233"/>
      <c r="C97" s="73" t="s">
        <v>411</v>
      </c>
      <c r="D97" s="73" t="s">
        <v>240</v>
      </c>
      <c r="E97" s="214"/>
      <c r="F97" s="214"/>
      <c r="G97" s="229"/>
      <c r="H97" s="229"/>
      <c r="I97" s="229"/>
      <c r="J97" s="210"/>
      <c r="K97" s="210"/>
      <c r="L97" s="167"/>
      <c r="M97" s="108"/>
      <c r="N97" s="108"/>
      <c r="O97" s="108"/>
      <c r="P97" s="108"/>
      <c r="Q97" s="167"/>
    </row>
    <row r="98" spans="1:17" s="113" customFormat="1" ht="38.25" x14ac:dyDescent="0.25">
      <c r="A98" s="89">
        <v>2</v>
      </c>
      <c r="B98" s="73" t="s">
        <v>412</v>
      </c>
      <c r="C98" s="73" t="s">
        <v>385</v>
      </c>
      <c r="D98" s="73" t="s">
        <v>413</v>
      </c>
      <c r="E98" s="73" t="s">
        <v>154</v>
      </c>
      <c r="F98" s="73" t="s">
        <v>155</v>
      </c>
      <c r="G98" s="98">
        <v>50000000</v>
      </c>
      <c r="H98" s="98">
        <v>50000000</v>
      </c>
      <c r="I98" s="98">
        <v>49770000</v>
      </c>
      <c r="J98" s="129">
        <f t="shared" si="0"/>
        <v>99.54</v>
      </c>
      <c r="K98" s="129">
        <v>100</v>
      </c>
      <c r="L98" s="150"/>
      <c r="M98" s="89"/>
      <c r="N98" s="89"/>
      <c r="O98" s="89"/>
      <c r="P98" s="89"/>
      <c r="Q98" s="150"/>
    </row>
    <row r="99" spans="1:17" s="113" customFormat="1" ht="33.75" customHeight="1" x14ac:dyDescent="0.25">
      <c r="A99" s="211">
        <v>3</v>
      </c>
      <c r="B99" s="213" t="s">
        <v>414</v>
      </c>
      <c r="C99" s="226" t="s">
        <v>415</v>
      </c>
      <c r="D99" s="213" t="s">
        <v>342</v>
      </c>
      <c r="E99" s="215" t="s">
        <v>154</v>
      </c>
      <c r="F99" s="213" t="s">
        <v>155</v>
      </c>
      <c r="G99" s="228">
        <v>900000000</v>
      </c>
      <c r="H99" s="228">
        <v>900000000</v>
      </c>
      <c r="I99" s="221">
        <f>10715000+833002000</f>
        <v>843717000</v>
      </c>
      <c r="J99" s="208">
        <f t="shared" si="0"/>
        <v>93.74633333333334</v>
      </c>
      <c r="K99" s="208">
        <v>100</v>
      </c>
      <c r="L99" s="73" t="s">
        <v>156</v>
      </c>
      <c r="M99" s="89" t="s">
        <v>416</v>
      </c>
      <c r="N99" s="170">
        <v>43348</v>
      </c>
      <c r="O99" s="77">
        <v>113700000</v>
      </c>
      <c r="P99" s="128" t="s">
        <v>417</v>
      </c>
      <c r="Q99" s="174"/>
    </row>
    <row r="100" spans="1:17" s="113" customFormat="1" ht="42.75" customHeight="1" x14ac:dyDescent="0.25">
      <c r="A100" s="212"/>
      <c r="B100" s="214"/>
      <c r="C100" s="227"/>
      <c r="D100" s="214"/>
      <c r="E100" s="216"/>
      <c r="F100" s="214"/>
      <c r="G100" s="229"/>
      <c r="H100" s="229"/>
      <c r="I100" s="222"/>
      <c r="J100" s="210"/>
      <c r="K100" s="210"/>
      <c r="L100" s="73" t="s">
        <v>418</v>
      </c>
      <c r="M100" s="89" t="s">
        <v>419</v>
      </c>
      <c r="N100" s="170">
        <v>43359</v>
      </c>
      <c r="O100" s="77">
        <v>719302000</v>
      </c>
      <c r="P100" s="128" t="s">
        <v>196</v>
      </c>
      <c r="Q100" s="150"/>
    </row>
    <row r="101" spans="1:17" s="113" customFormat="1" ht="18" customHeight="1" x14ac:dyDescent="0.25">
      <c r="A101" s="114" t="s">
        <v>408</v>
      </c>
      <c r="B101" s="87" t="s">
        <v>6</v>
      </c>
      <c r="C101" s="73"/>
      <c r="D101" s="73"/>
      <c r="E101" s="73"/>
      <c r="F101" s="73"/>
      <c r="G101" s="96">
        <f>SUM(G102:G106)</f>
        <v>200000000</v>
      </c>
      <c r="H101" s="96">
        <f>SUM(H102:H106)</f>
        <v>180000000</v>
      </c>
      <c r="I101" s="96">
        <f>SUM(I102:I106)</f>
        <v>177488400</v>
      </c>
      <c r="J101" s="111">
        <f>I101/H101%</f>
        <v>98.60466666666666</v>
      </c>
      <c r="K101" s="111">
        <v>100</v>
      </c>
      <c r="L101" s="150"/>
      <c r="M101" s="89"/>
      <c r="N101" s="89"/>
      <c r="O101" s="89"/>
      <c r="P101" s="89"/>
      <c r="Q101" s="150"/>
    </row>
    <row r="102" spans="1:17" s="113" customFormat="1" ht="29.25" customHeight="1" x14ac:dyDescent="0.25">
      <c r="A102" s="211">
        <v>1</v>
      </c>
      <c r="B102" s="213" t="s">
        <v>420</v>
      </c>
      <c r="C102" s="73" t="s">
        <v>421</v>
      </c>
      <c r="D102" s="73"/>
      <c r="E102" s="73" t="s">
        <v>422</v>
      </c>
      <c r="F102" s="213" t="s">
        <v>155</v>
      </c>
      <c r="G102" s="221">
        <v>150000000</v>
      </c>
      <c r="H102" s="221">
        <v>130000000</v>
      </c>
      <c r="I102" s="221">
        <v>128123059</v>
      </c>
      <c r="J102" s="208">
        <f t="shared" si="0"/>
        <v>85.41537266666667</v>
      </c>
      <c r="K102" s="208">
        <v>100</v>
      </c>
      <c r="L102" s="136"/>
      <c r="M102" s="154"/>
      <c r="N102" s="75"/>
      <c r="O102" s="154"/>
      <c r="P102" s="75"/>
      <c r="Q102" s="155"/>
    </row>
    <row r="103" spans="1:17" s="113" customFormat="1" ht="41.25" customHeight="1" x14ac:dyDescent="0.25">
      <c r="A103" s="223"/>
      <c r="B103" s="224"/>
      <c r="C103" s="73" t="s">
        <v>423</v>
      </c>
      <c r="D103" s="73"/>
      <c r="E103" s="73" t="s">
        <v>424</v>
      </c>
      <c r="F103" s="224"/>
      <c r="G103" s="225"/>
      <c r="H103" s="225"/>
      <c r="I103" s="225"/>
      <c r="J103" s="209"/>
      <c r="K103" s="209"/>
      <c r="L103" s="138"/>
      <c r="M103" s="156"/>
      <c r="N103" s="157"/>
      <c r="O103" s="156"/>
      <c r="P103" s="157"/>
      <c r="Q103" s="158"/>
    </row>
    <row r="104" spans="1:17" s="113" customFormat="1" ht="28.5" customHeight="1" x14ac:dyDescent="0.25">
      <c r="A104" s="212"/>
      <c r="B104" s="214"/>
      <c r="C104" s="73" t="s">
        <v>425</v>
      </c>
      <c r="D104" s="73"/>
      <c r="E104" s="73" t="s">
        <v>424</v>
      </c>
      <c r="F104" s="214"/>
      <c r="G104" s="222"/>
      <c r="H104" s="222"/>
      <c r="I104" s="222"/>
      <c r="J104" s="210"/>
      <c r="K104" s="210"/>
      <c r="L104" s="167"/>
      <c r="M104" s="168"/>
      <c r="N104" s="108"/>
      <c r="O104" s="168"/>
      <c r="P104" s="108"/>
      <c r="Q104" s="169"/>
    </row>
    <row r="105" spans="1:17" s="113" customFormat="1" ht="17.25" customHeight="1" x14ac:dyDescent="0.25">
      <c r="A105" s="211">
        <v>2</v>
      </c>
      <c r="B105" s="213" t="s">
        <v>426</v>
      </c>
      <c r="C105" s="73" t="s">
        <v>427</v>
      </c>
      <c r="D105" s="73"/>
      <c r="E105" s="215" t="s">
        <v>428</v>
      </c>
      <c r="F105" s="217" t="s">
        <v>155</v>
      </c>
      <c r="G105" s="219">
        <v>50000000</v>
      </c>
      <c r="H105" s="219">
        <v>50000000</v>
      </c>
      <c r="I105" s="221">
        <f>890000+27275341+21200000</f>
        <v>49365341</v>
      </c>
      <c r="J105" s="208">
        <f t="shared" si="0"/>
        <v>98.730682000000002</v>
      </c>
      <c r="K105" s="208">
        <v>100</v>
      </c>
      <c r="L105" s="136"/>
      <c r="M105" s="154"/>
      <c r="N105" s="75"/>
      <c r="O105" s="154"/>
      <c r="P105" s="75"/>
      <c r="Q105" s="155"/>
    </row>
    <row r="106" spans="1:17" s="113" customFormat="1" ht="25.5" x14ac:dyDescent="0.25">
      <c r="A106" s="212"/>
      <c r="B106" s="214"/>
      <c r="C106" s="73" t="s">
        <v>429</v>
      </c>
      <c r="D106" s="73"/>
      <c r="E106" s="216"/>
      <c r="F106" s="218"/>
      <c r="G106" s="220"/>
      <c r="H106" s="220"/>
      <c r="I106" s="222"/>
      <c r="J106" s="210"/>
      <c r="K106" s="210"/>
      <c r="L106" s="167"/>
      <c r="M106" s="168"/>
      <c r="N106" s="108"/>
      <c r="O106" s="168"/>
      <c r="P106" s="108"/>
      <c r="Q106" s="169"/>
    </row>
    <row r="107" spans="1:17" ht="16.5" x14ac:dyDescent="0.3">
      <c r="A107" s="156"/>
      <c r="B107" s="100"/>
      <c r="C107" s="100"/>
      <c r="D107" s="100"/>
      <c r="E107" s="102"/>
      <c r="F107" s="175"/>
      <c r="G107" s="101"/>
      <c r="H107" s="101"/>
      <c r="I107" s="176"/>
      <c r="J107" s="177"/>
      <c r="K107" s="177"/>
      <c r="L107" s="178"/>
      <c r="M107" s="178"/>
      <c r="N107" s="178"/>
      <c r="O107" s="178"/>
      <c r="P107" s="178"/>
      <c r="Q107" s="178"/>
    </row>
    <row r="108" spans="1:17" ht="16.5" x14ac:dyDescent="0.3">
      <c r="A108" s="179"/>
      <c r="B108" s="100"/>
      <c r="C108" s="100"/>
      <c r="D108" s="100"/>
      <c r="E108" s="102"/>
      <c r="F108" s="100"/>
      <c r="G108" s="101"/>
      <c r="H108" s="101"/>
      <c r="I108" s="105"/>
      <c r="J108" s="177"/>
      <c r="K108" s="180"/>
      <c r="L108" s="178"/>
      <c r="M108" s="178"/>
      <c r="N108" s="178"/>
      <c r="O108" s="178"/>
      <c r="P108" s="178"/>
      <c r="Q108" s="178"/>
    </row>
    <row r="109" spans="1:17" x14ac:dyDescent="0.25">
      <c r="A109" s="179"/>
      <c r="B109" s="100"/>
      <c r="C109" s="100"/>
      <c r="D109" s="100"/>
      <c r="E109" s="102"/>
      <c r="F109" s="100"/>
      <c r="G109" s="101"/>
      <c r="H109" s="101"/>
      <c r="I109" s="105"/>
      <c r="J109" s="177"/>
      <c r="K109" s="180"/>
      <c r="L109" s="205" t="s">
        <v>430</v>
      </c>
      <c r="M109" s="205"/>
      <c r="N109" s="205"/>
      <c r="O109" s="205"/>
      <c r="P109" s="205"/>
      <c r="Q109" s="205"/>
    </row>
    <row r="110" spans="1:17" ht="16.5" x14ac:dyDescent="0.3">
      <c r="A110" s="181"/>
      <c r="B110" s="103"/>
      <c r="C110" s="100"/>
      <c r="D110" s="100"/>
      <c r="E110" s="100"/>
      <c r="F110" s="100"/>
      <c r="G110" s="104"/>
      <c r="H110" s="104"/>
      <c r="I110" s="104"/>
      <c r="J110" s="182"/>
      <c r="K110" s="178"/>
    </row>
    <row r="111" spans="1:17" x14ac:dyDescent="0.25">
      <c r="A111" s="179"/>
      <c r="B111" s="100"/>
      <c r="C111" s="100"/>
      <c r="D111" s="100"/>
      <c r="E111" s="100"/>
      <c r="F111" s="100"/>
      <c r="G111" s="105"/>
      <c r="H111" s="105"/>
      <c r="I111" s="105"/>
      <c r="J111" s="177"/>
      <c r="K111" s="183"/>
      <c r="L111" s="206" t="s">
        <v>431</v>
      </c>
      <c r="M111" s="206"/>
      <c r="N111" s="206"/>
      <c r="O111" s="206"/>
      <c r="P111" s="206"/>
      <c r="Q111" s="206"/>
    </row>
    <row r="112" spans="1:17" x14ac:dyDescent="0.25">
      <c r="A112" s="179"/>
      <c r="B112" s="100"/>
      <c r="C112" s="100"/>
      <c r="D112" s="100"/>
      <c r="E112" s="100"/>
      <c r="F112" s="100"/>
      <c r="G112" s="105"/>
      <c r="H112" s="105"/>
      <c r="I112" s="105"/>
      <c r="J112" s="177"/>
      <c r="K112" s="183"/>
      <c r="L112" s="206" t="s">
        <v>432</v>
      </c>
      <c r="M112" s="206"/>
      <c r="N112" s="206"/>
      <c r="O112" s="206"/>
      <c r="P112" s="206"/>
      <c r="Q112" s="206"/>
    </row>
    <row r="113" spans="1:17" x14ac:dyDescent="0.25">
      <c r="A113" s="179"/>
      <c r="B113" s="100"/>
      <c r="C113" s="100"/>
      <c r="D113" s="100"/>
      <c r="E113" s="100"/>
      <c r="F113" s="100"/>
      <c r="G113" s="105"/>
      <c r="H113" s="105"/>
      <c r="I113" s="105"/>
      <c r="J113" s="177"/>
      <c r="K113" s="183"/>
      <c r="L113" s="206" t="s">
        <v>91</v>
      </c>
      <c r="M113" s="206"/>
      <c r="N113" s="206"/>
      <c r="O113" s="206"/>
      <c r="P113" s="206"/>
      <c r="Q113" s="206"/>
    </row>
    <row r="114" spans="1:17" ht="16.5" x14ac:dyDescent="0.3">
      <c r="A114" s="179"/>
      <c r="B114" s="100"/>
      <c r="C114" s="100"/>
      <c r="D114" s="100"/>
      <c r="E114" s="100"/>
      <c r="F114" s="100"/>
      <c r="G114" s="105"/>
      <c r="H114" s="105"/>
      <c r="I114" s="105"/>
      <c r="J114" s="177"/>
      <c r="K114" s="178"/>
    </row>
    <row r="115" spans="1:17" ht="16.5" x14ac:dyDescent="0.3">
      <c r="A115" s="179"/>
      <c r="B115" s="100"/>
      <c r="C115" s="100"/>
      <c r="D115" s="100"/>
      <c r="E115" s="100"/>
      <c r="F115" s="100"/>
      <c r="G115" s="105"/>
      <c r="H115" s="105"/>
      <c r="I115" s="105"/>
      <c r="J115" s="177"/>
      <c r="K115" s="178"/>
    </row>
    <row r="116" spans="1:17" ht="16.5" x14ac:dyDescent="0.3">
      <c r="A116" s="179"/>
      <c r="B116" s="100"/>
      <c r="C116" s="100"/>
      <c r="D116" s="100"/>
      <c r="E116" s="100"/>
      <c r="F116" s="100"/>
      <c r="G116" s="105"/>
      <c r="H116" s="105"/>
      <c r="I116" s="105"/>
      <c r="J116" s="177"/>
      <c r="K116" s="178"/>
    </row>
    <row r="117" spans="1:17" ht="16.5" x14ac:dyDescent="0.3">
      <c r="A117" s="179"/>
      <c r="B117" s="100"/>
      <c r="C117" s="100"/>
      <c r="D117" s="100"/>
      <c r="E117" s="100"/>
      <c r="F117" s="100"/>
      <c r="G117" s="105"/>
      <c r="H117" s="105"/>
      <c r="I117" s="105"/>
      <c r="J117" s="177"/>
      <c r="K117" s="178"/>
      <c r="L117" s="207" t="s">
        <v>92</v>
      </c>
      <c r="M117" s="207"/>
      <c r="N117" s="207"/>
      <c r="O117" s="207"/>
      <c r="P117" s="207"/>
      <c r="Q117" s="207"/>
    </row>
    <row r="118" spans="1:17" ht="16.5" x14ac:dyDescent="0.3">
      <c r="A118" s="178"/>
      <c r="B118" s="100"/>
      <c r="C118" s="100"/>
      <c r="D118" s="100"/>
      <c r="E118" s="100"/>
      <c r="F118" s="100"/>
      <c r="G118" s="105"/>
      <c r="H118" s="105"/>
      <c r="I118" s="105"/>
      <c r="J118" s="177"/>
      <c r="K118" s="178"/>
      <c r="L118" s="206" t="s">
        <v>433</v>
      </c>
      <c r="M118" s="206"/>
      <c r="N118" s="206"/>
      <c r="O118" s="206"/>
      <c r="P118" s="206"/>
      <c r="Q118" s="206"/>
    </row>
  </sheetData>
  <mergeCells count="172">
    <mergeCell ref="A1:Q1"/>
    <mergeCell ref="A2:Q2"/>
    <mergeCell ref="A3:Q3"/>
    <mergeCell ref="A5:A7"/>
    <mergeCell ref="B5:B7"/>
    <mergeCell ref="C5:D5"/>
    <mergeCell ref="E5:E7"/>
    <mergeCell ref="F5:F7"/>
    <mergeCell ref="G5:H6"/>
    <mergeCell ref="I5:K5"/>
    <mergeCell ref="L5:P5"/>
    <mergeCell ref="Q5:Q7"/>
    <mergeCell ref="C6:C7"/>
    <mergeCell ref="D6:D7"/>
    <mergeCell ref="I6:I7"/>
    <mergeCell ref="J6:J7"/>
    <mergeCell ref="K6:K7"/>
    <mergeCell ref="L6:L7"/>
    <mergeCell ref="M6:O6"/>
    <mergeCell ref="P6:P7"/>
    <mergeCell ref="M11:M14"/>
    <mergeCell ref="N11:N14"/>
    <mergeCell ref="O11:O14"/>
    <mergeCell ref="P11:P14"/>
    <mergeCell ref="B19:B20"/>
    <mergeCell ref="A23:A24"/>
    <mergeCell ref="B23:B24"/>
    <mergeCell ref="E23:E24"/>
    <mergeCell ref="A11:A14"/>
    <mergeCell ref="B11:B14"/>
    <mergeCell ref="C11:C14"/>
    <mergeCell ref="D11:D14"/>
    <mergeCell ref="E11:E12"/>
    <mergeCell ref="L11:L14"/>
    <mergeCell ref="A32:A34"/>
    <mergeCell ref="B32:B34"/>
    <mergeCell ref="E32:E34"/>
    <mergeCell ref="G32:G34"/>
    <mergeCell ref="H32:H34"/>
    <mergeCell ref="I32:I34"/>
    <mergeCell ref="J32:J34"/>
    <mergeCell ref="H30:H31"/>
    <mergeCell ref="I30:I31"/>
    <mergeCell ref="J30:J31"/>
    <mergeCell ref="A30:A31"/>
    <mergeCell ref="B30:B31"/>
    <mergeCell ref="D30:D31"/>
    <mergeCell ref="E30:E31"/>
    <mergeCell ref="F30:F31"/>
    <mergeCell ref="G30:G31"/>
    <mergeCell ref="K32:K34"/>
    <mergeCell ref="L32:L34"/>
    <mergeCell ref="M32:M34"/>
    <mergeCell ref="N32:N34"/>
    <mergeCell ref="O32:O34"/>
    <mergeCell ref="P32:P34"/>
    <mergeCell ref="N30:N31"/>
    <mergeCell ref="O30:O31"/>
    <mergeCell ref="P30:P31"/>
    <mergeCell ref="K30:K31"/>
    <mergeCell ref="L30:L31"/>
    <mergeCell ref="M30:M31"/>
    <mergeCell ref="P35:P38"/>
    <mergeCell ref="A63:A65"/>
    <mergeCell ref="B63:B65"/>
    <mergeCell ref="E63:E65"/>
    <mergeCell ref="F63:F65"/>
    <mergeCell ref="G63:G65"/>
    <mergeCell ref="H63:H65"/>
    <mergeCell ref="I63:I65"/>
    <mergeCell ref="J63:J65"/>
    <mergeCell ref="K63:K65"/>
    <mergeCell ref="J35:J38"/>
    <mergeCell ref="K35:K38"/>
    <mergeCell ref="L35:L38"/>
    <mergeCell ref="M35:M38"/>
    <mergeCell ref="N35:N38"/>
    <mergeCell ref="O35:O38"/>
    <mergeCell ref="A35:A38"/>
    <mergeCell ref="B35:B38"/>
    <mergeCell ref="E35:E38"/>
    <mergeCell ref="G35:G38"/>
    <mergeCell ref="H35:H38"/>
    <mergeCell ref="I35:I38"/>
    <mergeCell ref="I66:I68"/>
    <mergeCell ref="J66:J68"/>
    <mergeCell ref="K66:K68"/>
    <mergeCell ref="A69:A70"/>
    <mergeCell ref="B69:B70"/>
    <mergeCell ref="E69:E70"/>
    <mergeCell ref="F69:F70"/>
    <mergeCell ref="G69:G70"/>
    <mergeCell ref="H69:H70"/>
    <mergeCell ref="I69:I70"/>
    <mergeCell ref="A66:A68"/>
    <mergeCell ref="B66:B68"/>
    <mergeCell ref="E66:E68"/>
    <mergeCell ref="F66:F68"/>
    <mergeCell ref="G66:G68"/>
    <mergeCell ref="H66:H68"/>
    <mergeCell ref="J69:J70"/>
    <mergeCell ref="K69:K70"/>
    <mergeCell ref="A71:A75"/>
    <mergeCell ref="B71:B75"/>
    <mergeCell ref="E71:E75"/>
    <mergeCell ref="F71:F75"/>
    <mergeCell ref="G71:G75"/>
    <mergeCell ref="H71:H75"/>
    <mergeCell ref="I71:I75"/>
    <mergeCell ref="J71:J75"/>
    <mergeCell ref="K71:K75"/>
    <mergeCell ref="A76:A82"/>
    <mergeCell ref="B76:B82"/>
    <mergeCell ref="E76:E82"/>
    <mergeCell ref="F76:F82"/>
    <mergeCell ref="G76:G82"/>
    <mergeCell ref="H76:H82"/>
    <mergeCell ref="I76:I82"/>
    <mergeCell ref="J76:J82"/>
    <mergeCell ref="K76:K82"/>
    <mergeCell ref="I87:I88"/>
    <mergeCell ref="J87:J88"/>
    <mergeCell ref="K87:K88"/>
    <mergeCell ref="A96:A97"/>
    <mergeCell ref="B96:B97"/>
    <mergeCell ref="E96:E97"/>
    <mergeCell ref="F96:F97"/>
    <mergeCell ref="G96:G97"/>
    <mergeCell ref="H96:H97"/>
    <mergeCell ref="I96:I97"/>
    <mergeCell ref="A87:A88"/>
    <mergeCell ref="B87:B88"/>
    <mergeCell ref="E87:E88"/>
    <mergeCell ref="F87:F88"/>
    <mergeCell ref="G87:G88"/>
    <mergeCell ref="H87:H88"/>
    <mergeCell ref="J96:J97"/>
    <mergeCell ref="K96:K97"/>
    <mergeCell ref="A99:A100"/>
    <mergeCell ref="B99:B100"/>
    <mergeCell ref="C99:C100"/>
    <mergeCell ref="D99:D100"/>
    <mergeCell ref="E99:E100"/>
    <mergeCell ref="F99:F100"/>
    <mergeCell ref="G99:G100"/>
    <mergeCell ref="H99:H100"/>
    <mergeCell ref="I99:I100"/>
    <mergeCell ref="J99:J100"/>
    <mergeCell ref="K99:K100"/>
    <mergeCell ref="A102:A104"/>
    <mergeCell ref="B102:B104"/>
    <mergeCell ref="F102:F104"/>
    <mergeCell ref="G102:G104"/>
    <mergeCell ref="H102:H104"/>
    <mergeCell ref="I102:I104"/>
    <mergeCell ref="J102:J104"/>
    <mergeCell ref="L109:Q109"/>
    <mergeCell ref="L111:Q111"/>
    <mergeCell ref="L112:Q112"/>
    <mergeCell ref="L113:Q113"/>
    <mergeCell ref="L117:Q117"/>
    <mergeCell ref="L118:Q118"/>
    <mergeCell ref="K102:K104"/>
    <mergeCell ref="A105:A106"/>
    <mergeCell ref="B105:B106"/>
    <mergeCell ref="E105:E106"/>
    <mergeCell ref="F105:F106"/>
    <mergeCell ref="G105:G106"/>
    <mergeCell ref="H105:H106"/>
    <mergeCell ref="I105:I106"/>
    <mergeCell ref="J105:J106"/>
    <mergeCell ref="K105:K106"/>
  </mergeCells>
  <printOptions horizontalCentered="1"/>
  <pageMargins left="0.7" right="0.7" top="0.5" bottom="0.5" header="0.3" footer="0.3"/>
  <pageSetup paperSize="10000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BELANJA LANGSUNG</vt:lpstr>
      <vt:lpstr>DAK</vt:lpstr>
      <vt:lpstr>POBL 2018</vt:lpstr>
      <vt:lpstr>'BELANJA LANGSUNG'!Print_Titles</vt:lpstr>
      <vt:lpstr>'POBL 2018'!Print_Titles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2019-08-12T09:18:16Z</cp:lastPrinted>
  <dcterms:created xsi:type="dcterms:W3CDTF">2019-02-07T07:22:46Z</dcterms:created>
  <dcterms:modified xsi:type="dcterms:W3CDTF">2019-08-12T09:24:14Z</dcterms:modified>
</cp:coreProperties>
</file>